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Лист1" sheetId="1" r:id="rId1"/>
    <sheet name="Лист3" sheetId="2" r:id="rId2"/>
    <sheet name="Лист4" sheetId="3" r:id="rId3"/>
  </sheets>
  <definedNames>
    <definedName name="завтрак1">'Лист4'!$G$21</definedName>
    <definedName name="завтрак2">'Лист4'!$H$21</definedName>
    <definedName name="завтрак3">'Лист4'!$I$21</definedName>
    <definedName name="завтрак4">'Лист4'!$J$21</definedName>
    <definedName name="завтрак5">'Лист4'!$K$21</definedName>
    <definedName name="завтрак6">'Лист4'!$L$21</definedName>
    <definedName name="завтрак7">'Лист4'!$M$21</definedName>
    <definedName name="завтрак8">'Лист4'!$N$21</definedName>
    <definedName name="завтракл">'Лист4'!$G$23</definedName>
    <definedName name="имя">'Лист4'!$AQ$2:$AQ$150</definedName>
    <definedName name="обед1">'Лист4'!$O$21</definedName>
    <definedName name="обед2">'Лист4'!$P$21</definedName>
    <definedName name="обед3">'Лист4'!$Q$21</definedName>
    <definedName name="обед4">'Лист4'!$R$21</definedName>
    <definedName name="обед5">'Лист4'!$S$21</definedName>
    <definedName name="обед6">'Лист4'!$T$21</definedName>
    <definedName name="обед7">'Лист4'!$U$21</definedName>
    <definedName name="обед8">'Лист4'!$V$21</definedName>
    <definedName name="обідл">'Лист4'!$O$23</definedName>
    <definedName name="_xlnm.Print_Area" localSheetId="2">'Лист4'!$A$1:$AN$181</definedName>
    <definedName name="полдник1">'Лист4'!$W$21</definedName>
    <definedName name="полдник2">'Лист4'!$X$21</definedName>
    <definedName name="полдник3">'Лист4'!$Y$21</definedName>
    <definedName name="полдникл">'Лист4'!$W$23</definedName>
    <definedName name="сред">'Лист4'!$F$6</definedName>
    <definedName name="таб">'Лист4'!$AQ$2:$EH$250</definedName>
    <definedName name="ужин1">'Лист4'!$Z$21</definedName>
    <definedName name="ужин2">'Лист4'!$AA$21</definedName>
    <definedName name="ужин3">'Лист4'!$AB$21</definedName>
    <definedName name="ужин4">'Лист4'!$AC$21</definedName>
    <definedName name="ужин5">'Лист4'!$AD$21</definedName>
    <definedName name="ужин6">'Лист4'!$AE$21</definedName>
    <definedName name="ужин7">'Лист4'!$AF$21</definedName>
    <definedName name="ужин8">'Лист4'!$AG$21</definedName>
    <definedName name="ужинл">'Лист4'!$Z$23</definedName>
    <definedName name="Цена">'Лист4'!$AQ$117</definedName>
  </definedNames>
  <calcPr fullCalcOnLoad="1"/>
</workbook>
</file>

<file path=xl/sharedStrings.xml><?xml version="1.0" encoding="utf-8"?>
<sst xmlns="http://schemas.openxmlformats.org/spreadsheetml/2006/main" count="690" uniqueCount="358">
  <si>
    <t>Горох</t>
  </si>
  <si>
    <t xml:space="preserve"> </t>
  </si>
  <si>
    <t>Чай</t>
  </si>
  <si>
    <t xml:space="preserve">Свинина </t>
  </si>
  <si>
    <t xml:space="preserve">Маргарин </t>
  </si>
  <si>
    <t>операция</t>
  </si>
  <si>
    <t>Свинина</t>
  </si>
  <si>
    <t>ковбаса варена</t>
  </si>
  <si>
    <t>кефір</t>
  </si>
  <si>
    <t>ряженка</t>
  </si>
  <si>
    <t>печиво різне</t>
  </si>
  <si>
    <t>хліб пшеничний</t>
  </si>
  <si>
    <t>хліб житній</t>
  </si>
  <si>
    <t>М'ясо (яловичина, баранина)</t>
  </si>
  <si>
    <t>Птиця</t>
  </si>
  <si>
    <t>Ковбаса варена</t>
  </si>
  <si>
    <t>Оселедець</t>
  </si>
  <si>
    <t>Свіжа риба(свіжозаморожена)</t>
  </si>
  <si>
    <t xml:space="preserve">Масло вершкове селянське 72,6% </t>
  </si>
  <si>
    <t>Масло топлене</t>
  </si>
  <si>
    <t>Олія соняшникова</t>
  </si>
  <si>
    <t>Молоко свіже 2,6%</t>
  </si>
  <si>
    <t>Молоко сгущенне</t>
  </si>
  <si>
    <t xml:space="preserve">Кефір 2,5% </t>
  </si>
  <si>
    <t>Сметана 21%</t>
  </si>
  <si>
    <t>Сир кисломолочний 10%</t>
  </si>
  <si>
    <t>Сир твердий (плавлений)</t>
  </si>
  <si>
    <t>Яйце</t>
  </si>
  <si>
    <t>Ряженка</t>
  </si>
  <si>
    <t>Крохмал</t>
  </si>
  <si>
    <t>Крупа гречнева</t>
  </si>
  <si>
    <t>Крупа манна</t>
  </si>
  <si>
    <t xml:space="preserve">Пшоно </t>
  </si>
  <si>
    <t>Макарони</t>
  </si>
  <si>
    <t>Рис</t>
  </si>
  <si>
    <t>Крупа пшенична</t>
  </si>
  <si>
    <t>Цукровий пісок</t>
  </si>
  <si>
    <t>Цукор-рафінад</t>
  </si>
  <si>
    <t>Варення, джем</t>
  </si>
  <si>
    <t>Повидло різне</t>
  </si>
  <si>
    <t>Цукерки фруктово-ягідні</t>
  </si>
  <si>
    <t>Печиво різне</t>
  </si>
  <si>
    <t>Компот (сухофрукти)</t>
  </si>
  <si>
    <t>Сік фруктовий</t>
  </si>
  <si>
    <t>Мед бджолиний</t>
  </si>
  <si>
    <t>Яблука</t>
  </si>
  <si>
    <t>Картопля</t>
  </si>
  <si>
    <t>Цибуля</t>
  </si>
  <si>
    <t>Морква</t>
  </si>
  <si>
    <t>Буряк</t>
  </si>
  <si>
    <t>Томат паста 25%</t>
  </si>
  <si>
    <t>Ікра кабачкова</t>
  </si>
  <si>
    <t>Хліб пшеничний</t>
  </si>
  <si>
    <t>Хліб житній</t>
  </si>
  <si>
    <t>Какао</t>
  </si>
  <si>
    <t>Кавовий напій</t>
  </si>
  <si>
    <t>Сіль</t>
  </si>
  <si>
    <t>Дріжджі</t>
  </si>
  <si>
    <t>Лавровий лист</t>
  </si>
  <si>
    <t>Ванілін</t>
  </si>
  <si>
    <t>Лимонна кислота</t>
  </si>
  <si>
    <t>борщ</t>
  </si>
  <si>
    <t>Масло вершкове селянське 72,6%</t>
  </si>
  <si>
    <t>Маргарин</t>
  </si>
  <si>
    <t>Кефір 2,5%</t>
  </si>
  <si>
    <t>Пшоно</t>
  </si>
  <si>
    <t>борщ з квасолею і картоплею</t>
  </si>
  <si>
    <t>борщ український</t>
  </si>
  <si>
    <t>суп селянський з крупою</t>
  </si>
  <si>
    <t>суп картопляний з горохом</t>
  </si>
  <si>
    <t>суп картопляний з мясними фрикадельками</t>
  </si>
  <si>
    <t>суп із овочів</t>
  </si>
  <si>
    <t>розсольник Ленінградський</t>
  </si>
  <si>
    <t>розсольник домашній</t>
  </si>
  <si>
    <t>Огірки консервовані</t>
  </si>
  <si>
    <t>Вихід</t>
  </si>
  <si>
    <t>каша гречана в'язка</t>
  </si>
  <si>
    <t>каша пшоняна в'язка</t>
  </si>
  <si>
    <t>каша рисова в'язка</t>
  </si>
  <si>
    <t>каша перлова в'язка</t>
  </si>
  <si>
    <t>каша пшенична в'язка</t>
  </si>
  <si>
    <t>карамель</t>
  </si>
  <si>
    <t>овочі натуральні</t>
  </si>
  <si>
    <t>Помідори квашені</t>
  </si>
  <si>
    <t>картопля відварена</t>
  </si>
  <si>
    <t>картопля тушена</t>
  </si>
  <si>
    <t xml:space="preserve">буряк тушкований </t>
  </si>
  <si>
    <t>буряк тушкований з яблуками</t>
  </si>
  <si>
    <t>капуста тушкована</t>
  </si>
  <si>
    <t>капуста тушкована з картоплею</t>
  </si>
  <si>
    <t>овочі по-карпатські</t>
  </si>
  <si>
    <t>овочі припущені в сметанному соусі</t>
  </si>
  <si>
    <t>рагу овочеве</t>
  </si>
  <si>
    <t>молоко</t>
  </si>
  <si>
    <t>какао з молоком</t>
  </si>
  <si>
    <t>какао із згущеним молоком</t>
  </si>
  <si>
    <t>кавовий напій з молоком</t>
  </si>
  <si>
    <t>кавовий напій із згущеним молоком</t>
  </si>
  <si>
    <t>суп молочний з макаронами</t>
  </si>
  <si>
    <t>яйце варене</t>
  </si>
  <si>
    <t>чай з цукром</t>
  </si>
  <si>
    <t>1шт</t>
  </si>
  <si>
    <t>чай з лимоном</t>
  </si>
  <si>
    <t>лимон</t>
  </si>
  <si>
    <t>чай з молоком</t>
  </si>
  <si>
    <t>чай з медом</t>
  </si>
  <si>
    <t>виноград</t>
  </si>
  <si>
    <t>яблука свіжі</t>
  </si>
  <si>
    <t>банани свіжі</t>
  </si>
  <si>
    <t>сік фруктовий</t>
  </si>
  <si>
    <t>компот із сушених фруктів</t>
  </si>
  <si>
    <t>кисіль із сухофруктів</t>
  </si>
  <si>
    <t>кисіль молочний</t>
  </si>
  <si>
    <t xml:space="preserve">риба варена </t>
  </si>
  <si>
    <t>котлети рибні</t>
  </si>
  <si>
    <t>риба тушкована в томатному соусі з овочами</t>
  </si>
  <si>
    <t>сухарі панірувальні</t>
  </si>
  <si>
    <t xml:space="preserve">сирники із сиру </t>
  </si>
  <si>
    <t>сирники із сиру і сметаною</t>
  </si>
  <si>
    <t>сирники із сиру із медом</t>
  </si>
  <si>
    <t>ватрушка з яблуками</t>
  </si>
  <si>
    <t>каша рідка молочна з гречаної крупи</t>
  </si>
  <si>
    <t>каша манна рідка молочна</t>
  </si>
  <si>
    <t>крупа ячмінна</t>
  </si>
  <si>
    <t xml:space="preserve">каша вівсяна рідка молочна </t>
  </si>
  <si>
    <t xml:space="preserve">каша перлова рідка молочна </t>
  </si>
  <si>
    <t>каша ячмінна рідка молочна</t>
  </si>
  <si>
    <t>каша пшоняна рідка молочна</t>
  </si>
  <si>
    <t>каша пшенична рідка молочна</t>
  </si>
  <si>
    <t>каша гречана розсипчаста</t>
  </si>
  <si>
    <t>каша пшоняна розсипчаста</t>
  </si>
  <si>
    <t>каша пшенична розсипчаста</t>
  </si>
  <si>
    <t>каша рисова розсипчаста</t>
  </si>
  <si>
    <t>каша перлова розсипчаста</t>
  </si>
  <si>
    <t>сардельки</t>
  </si>
  <si>
    <t>Борошно</t>
  </si>
  <si>
    <t>сирники із морквою і сметаною</t>
  </si>
  <si>
    <t>макарони з твердим сиром</t>
  </si>
  <si>
    <t>макаронні вироби варені</t>
  </si>
  <si>
    <t>вермішель</t>
  </si>
  <si>
    <t>оладки  із медом</t>
  </si>
  <si>
    <t>курятина тушкована у сметанно-томатному соусі</t>
  </si>
  <si>
    <t>рагу із птиці</t>
  </si>
  <si>
    <t>курчата в сметані</t>
  </si>
  <si>
    <t>птиця тушкована з овочами в сметанному соусі</t>
  </si>
  <si>
    <t>плов із свинини</t>
  </si>
  <si>
    <t>свинина тушена з картоплею і капустою</t>
  </si>
  <si>
    <t>рагу із свинини</t>
  </si>
  <si>
    <t>гуляш мясний (свинина)</t>
  </si>
  <si>
    <t>гуляш мясний (яловичина)</t>
  </si>
  <si>
    <t>крупа перлова</t>
  </si>
  <si>
    <t>Крупа ячмінна</t>
  </si>
  <si>
    <t>Крупа перлова</t>
  </si>
  <si>
    <t>Вермішель</t>
  </si>
  <si>
    <t>Лимон</t>
  </si>
  <si>
    <t>Сухарі панірувальні</t>
  </si>
  <si>
    <t>гуляш із вареної яловичини</t>
  </si>
  <si>
    <t>яловичина тушкована із картоплею</t>
  </si>
  <si>
    <t>котлета (із яловичини)</t>
  </si>
  <si>
    <t>котлета (із свинини)</t>
  </si>
  <si>
    <t>плов із вареної яловичини</t>
  </si>
  <si>
    <t>тюфтельки із свинини із сметанно томатним соусом</t>
  </si>
  <si>
    <t>тюфтельки із яловичини із сметанно томатним соусом</t>
  </si>
  <si>
    <t>печеня по-домашньому із свининою</t>
  </si>
  <si>
    <t>суп картопляний з галушками</t>
  </si>
  <si>
    <t>вареники ліниві відварні із сметаною</t>
  </si>
  <si>
    <t>масло вершкове селянське 72%</t>
  </si>
  <si>
    <t>сир твердий(плавлений)</t>
  </si>
  <si>
    <t>ікра кабачкова</t>
  </si>
  <si>
    <t xml:space="preserve">  Учереждение </t>
  </si>
  <si>
    <t>Персонал(кол-во) человек</t>
  </si>
  <si>
    <t>В группах</t>
  </si>
  <si>
    <t>меню-требование</t>
  </si>
  <si>
    <t>на выдачу продуктов питания</t>
  </si>
  <si>
    <t>завтрак</t>
  </si>
  <si>
    <t>обед</t>
  </si>
  <si>
    <t>полдник</t>
  </si>
  <si>
    <t>ужин</t>
  </si>
  <si>
    <t>Наименование</t>
  </si>
  <si>
    <t>Продукты питания</t>
  </si>
  <si>
    <t>единица измерения</t>
  </si>
  <si>
    <t>количество порции</t>
  </si>
  <si>
    <t>Выход порции</t>
  </si>
  <si>
    <t>Форма № 299-мех</t>
  </si>
  <si>
    <t>Утверждена Министерством финансов ССР</t>
  </si>
  <si>
    <t>Плановая сумма</t>
  </si>
  <si>
    <t>Материально-ответственное лицо</t>
  </si>
  <si>
    <t>Шифр учереждения</t>
  </si>
  <si>
    <t>Источник финансирования</t>
  </si>
  <si>
    <t>Раздел</t>
  </si>
  <si>
    <t>Итого</t>
  </si>
  <si>
    <t>количество человек</t>
  </si>
  <si>
    <t>плановая стоимость 1 дня</t>
  </si>
  <si>
    <t>Сумма</t>
  </si>
  <si>
    <t>10час.</t>
  </si>
  <si>
    <t>12 час.</t>
  </si>
  <si>
    <t>24 час.</t>
  </si>
  <si>
    <t>санаторных</t>
  </si>
  <si>
    <t>г</t>
  </si>
  <si>
    <t>кг</t>
  </si>
  <si>
    <t>кекс</t>
  </si>
  <si>
    <t xml:space="preserve">                                                                                                                                                Количество продуктов питания, подлежащих закладке</t>
  </si>
  <si>
    <t>шт.</t>
  </si>
  <si>
    <t>хліб пшеничний завтрак</t>
  </si>
  <si>
    <t>хліб житній завтрак</t>
  </si>
  <si>
    <t>хліб пшеничний обід</t>
  </si>
  <si>
    <t>хліб житній обід</t>
  </si>
  <si>
    <t>хліб пшеничний ужин</t>
  </si>
  <si>
    <t>хліб житній ужин</t>
  </si>
  <si>
    <t>Выдал кладовщик   Смарчкова А.А.</t>
  </si>
  <si>
    <t>ОБЕД</t>
  </si>
  <si>
    <t>ПОЛДНИК</t>
  </si>
  <si>
    <t>УЖИН</t>
  </si>
  <si>
    <t>цена</t>
  </si>
  <si>
    <t>ЦЕНА хліб пшеничний</t>
  </si>
  <si>
    <t>ЦЕНА хліб житній</t>
  </si>
  <si>
    <t>молодші 6-10р.</t>
  </si>
  <si>
    <t>молоко кипячене</t>
  </si>
  <si>
    <t>вермішель відварна</t>
  </si>
  <si>
    <t>огірок консервований</t>
  </si>
  <si>
    <t>мед бджолиний</t>
  </si>
  <si>
    <t>тюфтельки із свинини в томатному соусі</t>
  </si>
  <si>
    <t>повидло різне</t>
  </si>
  <si>
    <t>оладки з повидлом</t>
  </si>
  <si>
    <t>пиріжки із повидлом</t>
  </si>
  <si>
    <t>помідори консервовані</t>
  </si>
  <si>
    <t>Помідори консервовані</t>
  </si>
  <si>
    <t>ананас свіжий</t>
  </si>
  <si>
    <t>ананаси</t>
  </si>
  <si>
    <t xml:space="preserve">вінегрет овочевий </t>
  </si>
  <si>
    <t>голубці українські</t>
  </si>
  <si>
    <t>вареники із картоплею</t>
  </si>
  <si>
    <t>млинці із повидлом</t>
  </si>
  <si>
    <t>млинці із повидлом і вершковим маслом</t>
  </si>
  <si>
    <t>млинці із повидлом у сметанному соусі</t>
  </si>
  <si>
    <t>ватрушка із повидлом</t>
  </si>
  <si>
    <t>пиріг відкритий з повидлом</t>
  </si>
  <si>
    <t>тюфтельки рибні у томатному соусі</t>
  </si>
  <si>
    <t>тюфтельки рибні у сметанному соусі</t>
  </si>
  <si>
    <t>буряк тушкований у сметані</t>
  </si>
  <si>
    <t>морква припущена з сметаною</t>
  </si>
  <si>
    <t>оладки із сметаною</t>
  </si>
  <si>
    <t>риба смажена</t>
  </si>
  <si>
    <t>Родзинки</t>
  </si>
  <si>
    <t>запіканка із сиру із сметаною та родзинками</t>
  </si>
  <si>
    <t>запіканка з моркви та кисломолочного сиру і сметаною з родзинками</t>
  </si>
  <si>
    <t>запіканка із сиру з морквою і сметаною з родзинками</t>
  </si>
  <si>
    <t>запіканка рисова з яблуками та сметаною з родзинками</t>
  </si>
  <si>
    <t>ватрушка з сиром та родзинками</t>
  </si>
  <si>
    <t>запіканка манна з яблуками та родзинками</t>
  </si>
  <si>
    <t>локшинник с кисломолочним сиром і сметанним соусом з родзинками</t>
  </si>
  <si>
    <t xml:space="preserve">каша рисова рідка молочна </t>
  </si>
  <si>
    <t>Кабачки консервовані</t>
  </si>
  <si>
    <t>часник</t>
  </si>
  <si>
    <t>Бублики</t>
  </si>
  <si>
    <t>Консерва рибна</t>
  </si>
  <si>
    <t>Зрази сирні з повидлом та сметаною</t>
  </si>
  <si>
    <t>Плов із птиці</t>
  </si>
  <si>
    <t>ківі</t>
  </si>
  <si>
    <t>Пряники</t>
  </si>
  <si>
    <t>Шоколад</t>
  </si>
  <si>
    <t>Борщ із сметаною</t>
  </si>
  <si>
    <t xml:space="preserve">Запіканка макаронна з сиром кислоиолочним </t>
  </si>
  <si>
    <t xml:space="preserve">Пудинг манний  </t>
  </si>
  <si>
    <t>Суп молочний рисовий</t>
  </si>
  <si>
    <t>каша молочна манна</t>
  </si>
  <si>
    <t>Суп молочний з гречкою</t>
  </si>
  <si>
    <t>Каша ячмінна вязка</t>
  </si>
  <si>
    <t xml:space="preserve"> Каша пшенична вязка</t>
  </si>
  <si>
    <t>соус білий</t>
  </si>
  <si>
    <t xml:space="preserve"> плов з рису і мяса</t>
  </si>
  <si>
    <t>рагу овочеве з м'ясом</t>
  </si>
  <si>
    <t>печення по-домашньому</t>
  </si>
  <si>
    <t>бефстроганов</t>
  </si>
  <si>
    <t>пиджарка з яловичини</t>
  </si>
  <si>
    <t>кури та стегенця відварні</t>
  </si>
  <si>
    <t>оладки</t>
  </si>
  <si>
    <t>биточки рибні</t>
  </si>
  <si>
    <t>биточки парові мясні</t>
  </si>
  <si>
    <t>фрикадельки мясні парові</t>
  </si>
  <si>
    <t>Бухгалтер    Яковенко Г.В.</t>
  </si>
  <si>
    <t>перець з мясом і рисом</t>
  </si>
  <si>
    <t>булочка</t>
  </si>
  <si>
    <t>огірки свіжі</t>
  </si>
  <si>
    <t>перець</t>
  </si>
  <si>
    <t>бублики</t>
  </si>
  <si>
    <t>кількість на 1 дитину</t>
  </si>
  <si>
    <t>загальна кількість на всіх дітей</t>
  </si>
  <si>
    <t>ціна</t>
  </si>
  <si>
    <t>загальна сумма</t>
  </si>
  <si>
    <t>мандарини</t>
  </si>
  <si>
    <t>морква</t>
  </si>
  <si>
    <t>270/30</t>
  </si>
  <si>
    <t>100/20</t>
  </si>
  <si>
    <t>200/7</t>
  </si>
  <si>
    <t>100/15</t>
  </si>
  <si>
    <t>150/20</t>
  </si>
  <si>
    <t>50/50</t>
  </si>
  <si>
    <t>60/50</t>
  </si>
  <si>
    <t>180/20</t>
  </si>
  <si>
    <t>68/20</t>
  </si>
  <si>
    <t>60/20</t>
  </si>
  <si>
    <t>50/35</t>
  </si>
  <si>
    <t>компот із свіжих яблук</t>
  </si>
  <si>
    <t>68/50</t>
  </si>
  <si>
    <t>салат із солоних огірків та картоплі</t>
  </si>
  <si>
    <t>голубці ліниві з курячим мясом</t>
  </si>
  <si>
    <t>ікра буряково-морквяна</t>
  </si>
  <si>
    <t>суп харчо</t>
  </si>
  <si>
    <t xml:space="preserve">салат із солоних огірків </t>
  </si>
  <si>
    <t>квасоля суха</t>
  </si>
  <si>
    <t>суп картопляний з квасолею</t>
  </si>
  <si>
    <t>Квасоля суха</t>
  </si>
  <si>
    <t>картопляне пюре</t>
  </si>
  <si>
    <t>150/5</t>
  </si>
  <si>
    <r>
      <t xml:space="preserve">                      </t>
    </r>
    <r>
      <rPr>
        <sz val="20"/>
        <rFont val="Arial Cyr"/>
        <family val="0"/>
      </rPr>
      <t>Утверждаю</t>
    </r>
    <r>
      <rPr>
        <u val="single"/>
        <sz val="16"/>
        <rFont val="Arial Cyr"/>
        <family val="2"/>
      </rPr>
      <t xml:space="preserve">  </t>
    </r>
    <r>
      <rPr>
        <b/>
        <u val="single"/>
        <sz val="16"/>
        <rFont val="Arial Cyr"/>
        <family val="2"/>
      </rPr>
      <t xml:space="preserve">                                                                                     </t>
    </r>
    <r>
      <rPr>
        <u val="single"/>
        <sz val="16"/>
        <rFont val="Arial Cyr"/>
        <family val="2"/>
      </rPr>
      <t xml:space="preserve">                              Г.Колько                                                       .</t>
    </r>
  </si>
  <si>
    <t>помідори свіжі</t>
  </si>
  <si>
    <t xml:space="preserve">помідори свіжі </t>
  </si>
  <si>
    <t>хек запечений</t>
  </si>
  <si>
    <t>картопля запечена з куркумою</t>
  </si>
  <si>
    <t>соус каркаде</t>
  </si>
  <si>
    <t>чай каркаде</t>
  </si>
  <si>
    <t>салат з буряком та сухариками</t>
  </si>
  <si>
    <t>рогалик з повидлом</t>
  </si>
  <si>
    <t>картопляний гратен</t>
  </si>
  <si>
    <t>нагетси курячі</t>
  </si>
  <si>
    <t>полента</t>
  </si>
  <si>
    <t>кукурудзяна  крупа</t>
  </si>
  <si>
    <t>кукурудзяна крупа</t>
  </si>
  <si>
    <t>крупа кукурудзяна</t>
  </si>
  <si>
    <t>бігос з гречкою</t>
  </si>
  <si>
    <t>капуста квашена</t>
  </si>
  <si>
    <t xml:space="preserve">Капуста свіжа </t>
  </si>
  <si>
    <t>Капуста квашена</t>
  </si>
  <si>
    <t>мак енд чіз</t>
  </si>
  <si>
    <t>палички курячі</t>
  </si>
  <si>
    <t>курячий шніцель</t>
  </si>
  <si>
    <t>суп овочевий</t>
  </si>
  <si>
    <t>суп з томатом та крупою</t>
  </si>
  <si>
    <t>сардельки,сосиски</t>
  </si>
  <si>
    <t>салат з буряком та ячневою кашею</t>
  </si>
  <si>
    <t>салат із капусти з насінням</t>
  </si>
  <si>
    <t>салат з яблуками та квашеною капустою</t>
  </si>
  <si>
    <t>салат табуле з ячневою кашею</t>
  </si>
  <si>
    <t>гарбуз</t>
  </si>
  <si>
    <t>запіканка пшоняна з гарбузом</t>
  </si>
  <si>
    <t>плов фруктовий</t>
  </si>
  <si>
    <t>чорнослив</t>
  </si>
  <si>
    <t>бекон</t>
  </si>
  <si>
    <t>шоколад</t>
  </si>
  <si>
    <t>горошок зелений морожений</t>
  </si>
  <si>
    <t>насіння соняшника</t>
  </si>
  <si>
    <t>омлет натуральний</t>
  </si>
  <si>
    <t>яєчня з твердим сиром</t>
  </si>
  <si>
    <t>оладки з яблуками</t>
  </si>
  <si>
    <t xml:space="preserve">  Врач (диетсестра)    Шрамко Л.О.                                                                                                                               Принял повар                                                                                                                                                                                                           </t>
  </si>
  <si>
    <t xml:space="preserve">     на  "15" жовтня  2020 р.</t>
  </si>
  <si>
    <r>
      <t>"</t>
    </r>
    <r>
      <rPr>
        <u val="single"/>
        <sz val="20"/>
        <rFont val="Arial Cyr"/>
        <family val="0"/>
      </rPr>
      <t xml:space="preserve"> 13         </t>
    </r>
    <r>
      <rPr>
        <sz val="20"/>
        <rFont val="Arial Cyr"/>
        <family val="0"/>
      </rPr>
      <t xml:space="preserve">" </t>
    </r>
    <r>
      <rPr>
        <u val="single"/>
        <sz val="20"/>
        <rFont val="Arial Cyr"/>
        <family val="0"/>
      </rPr>
      <t xml:space="preserve">                                             10   </t>
    </r>
    <r>
      <rPr>
        <sz val="20"/>
        <rFont val="Arial Cyr"/>
        <family val="0"/>
      </rPr>
      <t>20</t>
    </r>
    <r>
      <rPr>
        <u val="single"/>
        <sz val="20"/>
        <rFont val="Arial Cyr"/>
        <family val="0"/>
      </rPr>
      <t xml:space="preserve"> 20     </t>
    </r>
    <r>
      <rPr>
        <sz val="20"/>
        <rFont val="Arial Cyr"/>
        <family val="0"/>
      </rPr>
      <t>г.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</si>
</sst>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Да&quot;;&quot;Да&quot;;&quot;Нет&quot;"/>
    <numFmt numFmtId="213" formatCode="&quot;Истина&quot;;&quot;Истина&quot;;&quot;Ложь&quot;"/>
    <numFmt numFmtId="214" formatCode="&quot;Вкл&quot;;&quot;Вкл&quot;;&quot;Выкл&quot;"/>
    <numFmt numFmtId="215" formatCode="[$€-2]\ ###,000_);[Red]\([$€-2]\ ###,000\)"/>
    <numFmt numFmtId="216" formatCode="[$-422]d\ mmmm\ yyyy&quot; р.&quot;"/>
    <numFmt numFmtId="217" formatCode="0.0"/>
    <numFmt numFmtId="218" formatCode="0.000"/>
    <numFmt numFmtId="219" formatCode="#,##0.00&quot;₴&quot;"/>
  </numFmts>
  <fonts count="65">
    <font>
      <sz val="10"/>
      <name val="Arial"/>
      <family val="0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 Cyr"/>
      <family val="2"/>
    </font>
    <font>
      <sz val="8"/>
      <name val="Arial"/>
      <family val="2"/>
    </font>
    <font>
      <sz val="11"/>
      <name val="Arial Cyr"/>
      <family val="2"/>
    </font>
    <font>
      <sz val="20"/>
      <name val="Arial Cyr"/>
      <family val="0"/>
    </font>
    <font>
      <u val="single"/>
      <sz val="20"/>
      <name val="Arial Cyr"/>
      <family val="0"/>
    </font>
    <font>
      <sz val="16"/>
      <name val="Arial Cyr"/>
      <family val="2"/>
    </font>
    <font>
      <sz val="16"/>
      <name val="Arial"/>
      <family val="2"/>
    </font>
    <font>
      <sz val="20"/>
      <name val="Arial"/>
      <family val="2"/>
    </font>
    <font>
      <u val="single"/>
      <sz val="20"/>
      <name val="Arial"/>
      <family val="2"/>
    </font>
    <font>
      <sz val="18"/>
      <name val="Arial Cyr"/>
      <family val="0"/>
    </font>
    <font>
      <sz val="36"/>
      <name val="Arial Cyr"/>
      <family val="0"/>
    </font>
    <font>
      <u val="single"/>
      <sz val="16"/>
      <name val="Arial Cyr"/>
      <family val="2"/>
    </font>
    <font>
      <b/>
      <u val="single"/>
      <sz val="16"/>
      <name val="Arial Cyr"/>
      <family val="2"/>
    </font>
    <font>
      <b/>
      <sz val="16"/>
      <name val="Arial Cyr"/>
      <family val="2"/>
    </font>
    <font>
      <sz val="24"/>
      <name val="Arial"/>
      <family val="2"/>
    </font>
    <font>
      <sz val="14"/>
      <name val="Arial Cyr"/>
      <family val="2"/>
    </font>
    <font>
      <sz val="20"/>
      <name val="Arial Cur"/>
      <family val="0"/>
    </font>
    <font>
      <sz val="26"/>
      <name val="Arial"/>
      <family val="2"/>
    </font>
    <font>
      <sz val="24"/>
      <name val="Arial Cyr"/>
      <family val="2"/>
    </font>
    <font>
      <sz val="48"/>
      <name val="Arial Cyr"/>
      <family val="0"/>
    </font>
    <font>
      <sz val="26"/>
      <name val="Arial Cyr"/>
      <family val="2"/>
    </font>
    <font>
      <sz val="28"/>
      <name val="Arial"/>
      <family val="2"/>
    </font>
    <font>
      <sz val="14"/>
      <name val="Times New Roman"/>
      <family val="1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7" fillId="0" borderId="15" xfId="0" applyFont="1" applyBorder="1" applyAlignment="1">
      <alignment/>
    </xf>
    <xf numFmtId="0" fontId="12" fillId="0" borderId="1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vertical="top" wrapText="1"/>
    </xf>
    <xf numFmtId="0" fontId="8" fillId="0" borderId="20" xfId="0" applyFont="1" applyBorder="1" applyAlignment="1">
      <alignment vertical="top" wrapText="1"/>
    </xf>
    <xf numFmtId="0" fontId="1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2" fontId="12" fillId="0" borderId="21" xfId="0" applyNumberFormat="1" applyFont="1" applyBorder="1" applyAlignment="1">
      <alignment horizontal="center" vertical="center" wrapText="1"/>
    </xf>
    <xf numFmtId="2" fontId="12" fillId="0" borderId="17" xfId="0" applyNumberFormat="1" applyFont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16" xfId="0" applyNumberFormat="1" applyFont="1" applyBorder="1" applyAlignment="1">
      <alignment horizontal="center" vertical="center" wrapText="1"/>
    </xf>
    <xf numFmtId="2" fontId="12" fillId="0" borderId="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18" fontId="12" fillId="0" borderId="17" xfId="0" applyNumberFormat="1" applyFont="1" applyBorder="1" applyAlignment="1">
      <alignment horizontal="center" vertical="center" wrapText="1"/>
    </xf>
    <xf numFmtId="218" fontId="12" fillId="0" borderId="15" xfId="0" applyNumberFormat="1" applyFont="1" applyBorder="1" applyAlignment="1">
      <alignment horizontal="center" vertical="center" wrapText="1"/>
    </xf>
    <xf numFmtId="218" fontId="12" fillId="0" borderId="16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3" fillId="0" borderId="19" xfId="0" applyNumberFormat="1" applyFont="1" applyBorder="1" applyAlignment="1">
      <alignment horizontal="center" vertical="center" wrapText="1"/>
    </xf>
    <xf numFmtId="0" fontId="12" fillId="0" borderId="15" xfId="0" applyNumberFormat="1" applyFont="1" applyBorder="1" applyAlignment="1">
      <alignment horizontal="center" vertical="center" wrapText="1"/>
    </xf>
    <xf numFmtId="0" fontId="19" fillId="0" borderId="19" xfId="0" applyFont="1" applyBorder="1" applyAlignment="1">
      <alignment/>
    </xf>
    <xf numFmtId="0" fontId="11" fillId="0" borderId="0" xfId="0" applyFont="1" applyAlignment="1">
      <alignment/>
    </xf>
    <xf numFmtId="2" fontId="11" fillId="0" borderId="0" xfId="0" applyNumberFormat="1" applyFont="1" applyAlignment="1">
      <alignment/>
    </xf>
    <xf numFmtId="0" fontId="10" fillId="0" borderId="13" xfId="0" applyFont="1" applyBorder="1" applyAlignment="1">
      <alignment vertical="top" wrapText="1"/>
    </xf>
    <xf numFmtId="0" fontId="10" fillId="0" borderId="23" xfId="0" applyFont="1" applyBorder="1" applyAlignment="1">
      <alignment vertical="top" wrapText="1"/>
    </xf>
    <xf numFmtId="0" fontId="20" fillId="0" borderId="13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23" fillId="0" borderId="10" xfId="0" applyFont="1" applyBorder="1" applyAlignment="1">
      <alignment horizontal="center" vertical="center" textRotation="90" wrapText="1"/>
    </xf>
    <xf numFmtId="2" fontId="23" fillId="0" borderId="10" xfId="0" applyNumberFormat="1" applyFont="1" applyBorder="1" applyAlignment="1">
      <alignment horizontal="center" vertical="center" textRotation="90" wrapText="1"/>
    </xf>
    <xf numFmtId="0" fontId="23" fillId="0" borderId="10" xfId="0" applyNumberFormat="1" applyFont="1" applyBorder="1" applyAlignment="1">
      <alignment horizontal="center" vertical="center" textRotation="90" wrapText="1"/>
    </xf>
    <xf numFmtId="0" fontId="23" fillId="0" borderId="11" xfId="0" applyFont="1" applyBorder="1" applyAlignment="1">
      <alignment horizontal="center" vertical="center" textRotation="90" wrapText="1"/>
    </xf>
    <xf numFmtId="0" fontId="8" fillId="0" borderId="23" xfId="0" applyFont="1" applyBorder="1" applyAlignment="1">
      <alignment vertical="top" wrapText="1"/>
    </xf>
    <xf numFmtId="0" fontId="8" fillId="0" borderId="24" xfId="0" applyFont="1" applyBorder="1" applyAlignment="1">
      <alignment vertical="top" wrapText="1"/>
    </xf>
    <xf numFmtId="0" fontId="12" fillId="0" borderId="23" xfId="0" applyFont="1" applyBorder="1" applyAlignment="1">
      <alignment horizontal="left" wrapText="1"/>
    </xf>
    <xf numFmtId="0" fontId="12" fillId="0" borderId="24" xfId="0" applyFont="1" applyBorder="1" applyAlignment="1">
      <alignment horizontal="left" wrapText="1"/>
    </xf>
    <xf numFmtId="0" fontId="23" fillId="0" borderId="25" xfId="0" applyFont="1" applyBorder="1" applyAlignment="1">
      <alignment horizontal="center" vertical="center" textRotation="90" wrapText="1"/>
    </xf>
    <xf numFmtId="0" fontId="20" fillId="0" borderId="25" xfId="0" applyFont="1" applyBorder="1" applyAlignment="1">
      <alignment horizontal="center" vertical="top" wrapText="1"/>
    </xf>
    <xf numFmtId="0" fontId="10" fillId="0" borderId="25" xfId="0" applyFont="1" applyBorder="1" applyAlignment="1">
      <alignment vertical="top" wrapText="1"/>
    </xf>
    <xf numFmtId="0" fontId="13" fillId="0" borderId="26" xfId="0" applyFont="1" applyBorder="1" applyAlignment="1">
      <alignment horizontal="center" vertical="center" wrapText="1"/>
    </xf>
    <xf numFmtId="2" fontId="12" fillId="0" borderId="27" xfId="0" applyNumberFormat="1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2" fontId="12" fillId="0" borderId="28" xfId="0" applyNumberFormat="1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218" fontId="12" fillId="0" borderId="27" xfId="0" applyNumberFormat="1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textRotation="90" wrapText="1"/>
    </xf>
    <xf numFmtId="0" fontId="20" fillId="0" borderId="29" xfId="0" applyFont="1" applyBorder="1" applyAlignment="1">
      <alignment horizontal="center" vertical="top" wrapText="1"/>
    </xf>
    <xf numFmtId="0" fontId="10" fillId="0" borderId="29" xfId="0" applyFont="1" applyBorder="1" applyAlignment="1">
      <alignment vertical="top" wrapText="1"/>
    </xf>
    <xf numFmtId="0" fontId="8" fillId="0" borderId="30" xfId="0" applyFont="1" applyBorder="1" applyAlignment="1">
      <alignment vertical="top" wrapText="1"/>
    </xf>
    <xf numFmtId="0" fontId="13" fillId="0" borderId="30" xfId="0" applyFont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218" fontId="12" fillId="0" borderId="31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" fillId="0" borderId="20" xfId="0" applyFont="1" applyBorder="1" applyAlignment="1">
      <alignment vertical="top" wrapText="1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4" xfId="0" applyFont="1" applyBorder="1" applyAlignment="1">
      <alignment horizontal="center" wrapText="1"/>
    </xf>
    <xf numFmtId="0" fontId="20" fillId="0" borderId="11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0" fillId="0" borderId="25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justify" wrapText="1"/>
    </xf>
    <xf numFmtId="17" fontId="11" fillId="0" borderId="0" xfId="0" applyNumberFormat="1" applyFont="1" applyAlignment="1">
      <alignment/>
    </xf>
    <xf numFmtId="1" fontId="8" fillId="0" borderId="0" xfId="0" applyNumberFormat="1" applyFont="1" applyBorder="1" applyAlignment="1">
      <alignment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vertical="top" wrapText="1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/>
    </xf>
    <xf numFmtId="210" fontId="0" fillId="0" borderId="0" xfId="43" applyFont="1" applyAlignment="1">
      <alignment horizontal="center"/>
    </xf>
    <xf numFmtId="210" fontId="0" fillId="0" borderId="15" xfId="43" applyFont="1" applyBorder="1" applyAlignment="1">
      <alignment horizontal="center"/>
    </xf>
    <xf numFmtId="210" fontId="0" fillId="0" borderId="19" xfId="43" applyFont="1" applyBorder="1" applyAlignment="1">
      <alignment horizontal="center"/>
    </xf>
    <xf numFmtId="210" fontId="0" fillId="0" borderId="10" xfId="43" applyFont="1" applyBorder="1" applyAlignment="1">
      <alignment horizontal="center"/>
    </xf>
    <xf numFmtId="0" fontId="0" fillId="0" borderId="23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210" fontId="0" fillId="0" borderId="0" xfId="43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7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12" fillId="0" borderId="20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2" fontId="25" fillId="0" borderId="10" xfId="0" applyNumberFormat="1" applyFont="1" applyBorder="1" applyAlignment="1">
      <alignment horizontal="center" vertical="center" wrapText="1"/>
    </xf>
    <xf numFmtId="2" fontId="25" fillId="0" borderId="18" xfId="0" applyNumberFormat="1" applyFont="1" applyBorder="1" applyAlignment="1">
      <alignment horizontal="center" vertical="center" wrapText="1"/>
    </xf>
    <xf numFmtId="2" fontId="25" fillId="0" borderId="17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wrapText="1"/>
    </xf>
    <xf numFmtId="0" fontId="0" fillId="0" borderId="16" xfId="0" applyBorder="1" applyAlignment="1">
      <alignment horizontal="center"/>
    </xf>
    <xf numFmtId="1" fontId="25" fillId="0" borderId="10" xfId="0" applyNumberFormat="1" applyFont="1" applyBorder="1" applyAlignment="1">
      <alignment horizontal="center" vertical="center" wrapText="1"/>
    </xf>
    <xf numFmtId="218" fontId="25" fillId="0" borderId="11" xfId="0" applyNumberFormat="1" applyFont="1" applyBorder="1" applyAlignment="1">
      <alignment horizontal="center" vertical="center" wrapText="1"/>
    </xf>
    <xf numFmtId="218" fontId="25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4" fillId="0" borderId="15" xfId="0" applyFont="1" applyBorder="1" applyAlignment="1">
      <alignment horizontal="left" vertical="center"/>
    </xf>
    <xf numFmtId="0" fontId="8" fillId="0" borderId="2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9" fontId="14" fillId="0" borderId="23" xfId="0" applyNumberFormat="1" applyFont="1" applyBorder="1" applyAlignment="1">
      <alignment horizontal="center" wrapText="1"/>
    </xf>
    <xf numFmtId="49" fontId="14" fillId="0" borderId="20" xfId="0" applyNumberFormat="1" applyFont="1" applyBorder="1" applyAlignment="1">
      <alignment horizontal="center" wrapText="1"/>
    </xf>
    <xf numFmtId="49" fontId="14" fillId="0" borderId="24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 wrapText="1"/>
    </xf>
    <xf numFmtId="49" fontId="14" fillId="0" borderId="14" xfId="0" applyNumberFormat="1" applyFont="1" applyBorder="1" applyAlignment="1">
      <alignment horizontal="center" wrapText="1"/>
    </xf>
    <xf numFmtId="49" fontId="14" fillId="0" borderId="16" xfId="0" applyNumberFormat="1" applyFont="1" applyBorder="1" applyAlignment="1">
      <alignment horizontal="center" wrapText="1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21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vertical="top" wrapText="1"/>
    </xf>
    <xf numFmtId="0" fontId="12" fillId="0" borderId="17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18" xfId="0" applyFont="1" applyBorder="1" applyAlignment="1">
      <alignment vertical="top" wrapText="1"/>
    </xf>
    <xf numFmtId="0" fontId="14" fillId="0" borderId="23" xfId="0" applyFont="1" applyBorder="1" applyAlignment="1">
      <alignment vertical="top" wrapText="1"/>
    </xf>
    <xf numFmtId="0" fontId="12" fillId="0" borderId="18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25" fillId="0" borderId="18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218" fontId="25" fillId="0" borderId="16" xfId="0" applyNumberFormat="1" applyFont="1" applyBorder="1" applyAlignment="1">
      <alignment horizontal="center" vertical="center" wrapText="1"/>
    </xf>
    <xf numFmtId="218" fontId="25" fillId="0" borderId="17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218" fontId="2" fillId="0" borderId="10" xfId="0" applyNumberFormat="1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1" fontId="15" fillId="0" borderId="23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4" xfId="0" applyNumberFormat="1" applyFont="1" applyBorder="1" applyAlignment="1">
      <alignment horizontal="center" vertical="center"/>
    </xf>
    <xf numFmtId="1" fontId="15" fillId="0" borderId="22" xfId="0" applyNumberFormat="1" applyFont="1" applyBorder="1" applyAlignment="1">
      <alignment horizontal="center" vertical="center"/>
    </xf>
    <xf numFmtId="1" fontId="15" fillId="0" borderId="14" xfId="0" applyNumberFormat="1" applyFont="1" applyBorder="1" applyAlignment="1">
      <alignment horizontal="center" vertical="center"/>
    </xf>
    <xf numFmtId="1" fontId="15" fillId="0" borderId="16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2" fontId="15" fillId="0" borderId="10" xfId="0" applyNumberFormat="1" applyFont="1" applyBorder="1" applyAlignment="1">
      <alignment horizontal="center" vertical="top" wrapText="1"/>
    </xf>
    <xf numFmtId="0" fontId="20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24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16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3" xfId="0" applyFont="1" applyBorder="1" applyAlignment="1">
      <alignment vertical="top" wrapText="1"/>
    </xf>
    <xf numFmtId="0" fontId="11" fillId="0" borderId="12" xfId="0" applyFont="1" applyBorder="1" applyAlignment="1">
      <alignment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19" fillId="0" borderId="2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21" fillId="0" borderId="23" xfId="0" applyFont="1" applyBorder="1" applyAlignment="1">
      <alignment horizontal="left" vertical="center" wrapText="1"/>
    </xf>
    <xf numFmtId="0" fontId="21" fillId="0" borderId="19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1" fillId="0" borderId="2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2" fontId="26" fillId="0" borderId="19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36.emf" /><Relationship Id="rId3" Type="http://schemas.openxmlformats.org/officeDocument/2006/relationships/image" Target="../media/image19.emf" /><Relationship Id="rId4" Type="http://schemas.openxmlformats.org/officeDocument/2006/relationships/image" Target="../media/image35.emf" /><Relationship Id="rId5" Type="http://schemas.openxmlformats.org/officeDocument/2006/relationships/image" Target="../media/image21.emf" /><Relationship Id="rId6" Type="http://schemas.openxmlformats.org/officeDocument/2006/relationships/image" Target="../media/image22.emf" /><Relationship Id="rId7" Type="http://schemas.openxmlformats.org/officeDocument/2006/relationships/image" Target="../media/image23.emf" /><Relationship Id="rId8" Type="http://schemas.openxmlformats.org/officeDocument/2006/relationships/image" Target="../media/image18.emf" /><Relationship Id="rId9" Type="http://schemas.openxmlformats.org/officeDocument/2006/relationships/image" Target="../media/image37.emf" /><Relationship Id="rId10" Type="http://schemas.openxmlformats.org/officeDocument/2006/relationships/image" Target="../media/image38.emf" /><Relationship Id="rId11" Type="http://schemas.openxmlformats.org/officeDocument/2006/relationships/image" Target="../media/image25.emf" /><Relationship Id="rId12" Type="http://schemas.openxmlformats.org/officeDocument/2006/relationships/image" Target="../media/image26.emf" /><Relationship Id="rId13" Type="http://schemas.openxmlformats.org/officeDocument/2006/relationships/image" Target="../media/image27.emf" /><Relationship Id="rId14" Type="http://schemas.openxmlformats.org/officeDocument/2006/relationships/image" Target="../media/image24.emf" /><Relationship Id="rId15" Type="http://schemas.openxmlformats.org/officeDocument/2006/relationships/image" Target="../media/image29.emf" /><Relationship Id="rId16" Type="http://schemas.openxmlformats.org/officeDocument/2006/relationships/image" Target="../media/image1.emf" /><Relationship Id="rId17" Type="http://schemas.openxmlformats.org/officeDocument/2006/relationships/image" Target="../media/image30.emf" /><Relationship Id="rId18" Type="http://schemas.openxmlformats.org/officeDocument/2006/relationships/image" Target="../media/image31.emf" /><Relationship Id="rId19" Type="http://schemas.openxmlformats.org/officeDocument/2006/relationships/image" Target="../media/image28.emf" /><Relationship Id="rId20" Type="http://schemas.openxmlformats.org/officeDocument/2006/relationships/image" Target="../media/image33.emf" /><Relationship Id="rId21" Type="http://schemas.openxmlformats.org/officeDocument/2006/relationships/image" Target="../media/image32.emf" /><Relationship Id="rId22" Type="http://schemas.openxmlformats.org/officeDocument/2006/relationships/image" Target="../media/image34.emf" /><Relationship Id="rId23" Type="http://schemas.openxmlformats.org/officeDocument/2006/relationships/image" Target="../media/image20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9525</xdr:colOff>
      <xdr:row>19</xdr:row>
      <xdr:rowOff>161925</xdr:rowOff>
    </xdr:from>
    <xdr:to>
      <xdr:col>40</xdr:col>
      <xdr:colOff>9525</xdr:colOff>
      <xdr:row>20</xdr:row>
      <xdr:rowOff>1685925</xdr:rowOff>
    </xdr:to>
    <xdr:sp>
      <xdr:nvSpPr>
        <xdr:cNvPr id="1" name="Rectangle 46"/>
        <xdr:cNvSpPr>
          <a:spLocks/>
        </xdr:cNvSpPr>
      </xdr:nvSpPr>
      <xdr:spPr>
        <a:xfrm>
          <a:off x="39595425" y="4724400"/>
          <a:ext cx="4724400" cy="1771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51                                           56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   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шифр расхода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                                2001108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36</xdr:col>
      <xdr:colOff>9525</xdr:colOff>
      <xdr:row>20</xdr:row>
      <xdr:rowOff>942975</xdr:rowOff>
    </xdr:from>
    <xdr:to>
      <xdr:col>40</xdr:col>
      <xdr:colOff>9525</xdr:colOff>
      <xdr:row>20</xdr:row>
      <xdr:rowOff>942975</xdr:rowOff>
    </xdr:to>
    <xdr:sp>
      <xdr:nvSpPr>
        <xdr:cNvPr id="2" name="Прямая соединительная линия 9"/>
        <xdr:cNvSpPr>
          <a:spLocks/>
        </xdr:cNvSpPr>
      </xdr:nvSpPr>
      <xdr:spPr>
        <a:xfrm rot="10800000" flipH="1">
          <a:off x="39595425" y="5753100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9525</xdr:colOff>
      <xdr:row>20</xdr:row>
      <xdr:rowOff>457200</xdr:rowOff>
    </xdr:from>
    <xdr:to>
      <xdr:col>40</xdr:col>
      <xdr:colOff>9525</xdr:colOff>
      <xdr:row>20</xdr:row>
      <xdr:rowOff>457200</xdr:rowOff>
    </xdr:to>
    <xdr:sp>
      <xdr:nvSpPr>
        <xdr:cNvPr id="3" name="Прямая соединительная линия 13"/>
        <xdr:cNvSpPr>
          <a:spLocks/>
        </xdr:cNvSpPr>
      </xdr:nvSpPr>
      <xdr:spPr>
        <a:xfrm rot="10800000" flipH="1">
          <a:off x="39595425" y="5267325"/>
          <a:ext cx="4724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514350</xdr:colOff>
      <xdr:row>0</xdr:row>
      <xdr:rowOff>66675</xdr:rowOff>
    </xdr:from>
    <xdr:to>
      <xdr:col>34</xdr:col>
      <xdr:colOff>495300</xdr:colOff>
      <xdr:row>7</xdr:row>
      <xdr:rowOff>180975</xdr:rowOff>
    </xdr:to>
    <xdr:pic>
      <xdr:nvPicPr>
        <xdr:cNvPr id="4" name="Picture 12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75850" y="66675"/>
          <a:ext cx="2343150" cy="1924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638175</xdr:colOff>
      <xdr:row>186</xdr:row>
      <xdr:rowOff>28575</xdr:rowOff>
    </xdr:from>
    <xdr:to>
      <xdr:col>9</xdr:col>
      <xdr:colOff>771525</xdr:colOff>
      <xdr:row>190</xdr:row>
      <xdr:rowOff>38100</xdr:rowOff>
    </xdr:to>
    <xdr:pic>
      <xdr:nvPicPr>
        <xdr:cNvPr id="5" name="ComboBox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29175" y="735711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190</xdr:row>
      <xdr:rowOff>57150</xdr:rowOff>
    </xdr:from>
    <xdr:to>
      <xdr:col>9</xdr:col>
      <xdr:colOff>790575</xdr:colOff>
      <xdr:row>194</xdr:row>
      <xdr:rowOff>66675</xdr:rowOff>
    </xdr:to>
    <xdr:pic>
      <xdr:nvPicPr>
        <xdr:cNvPr id="6" name="ComboBox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48225" y="74247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194</xdr:row>
      <xdr:rowOff>57150</xdr:rowOff>
    </xdr:from>
    <xdr:to>
      <xdr:col>9</xdr:col>
      <xdr:colOff>800100</xdr:colOff>
      <xdr:row>198</xdr:row>
      <xdr:rowOff>66675</xdr:rowOff>
    </xdr:to>
    <xdr:pic>
      <xdr:nvPicPr>
        <xdr:cNvPr id="7" name="ComboBox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857750" y="74895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198</xdr:row>
      <xdr:rowOff>57150</xdr:rowOff>
    </xdr:from>
    <xdr:to>
      <xdr:col>9</xdr:col>
      <xdr:colOff>647700</xdr:colOff>
      <xdr:row>202</xdr:row>
      <xdr:rowOff>38100</xdr:rowOff>
    </xdr:to>
    <xdr:pic>
      <xdr:nvPicPr>
        <xdr:cNvPr id="8" name="ComboBox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857750" y="75542775"/>
          <a:ext cx="5219700" cy="628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202</xdr:row>
      <xdr:rowOff>133350</xdr:rowOff>
    </xdr:from>
    <xdr:to>
      <xdr:col>9</xdr:col>
      <xdr:colOff>800100</xdr:colOff>
      <xdr:row>206</xdr:row>
      <xdr:rowOff>142875</xdr:rowOff>
    </xdr:to>
    <xdr:pic>
      <xdr:nvPicPr>
        <xdr:cNvPr id="9" name="ComboBox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857750" y="762666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206</xdr:row>
      <xdr:rowOff>133350</xdr:rowOff>
    </xdr:from>
    <xdr:to>
      <xdr:col>9</xdr:col>
      <xdr:colOff>800100</xdr:colOff>
      <xdr:row>210</xdr:row>
      <xdr:rowOff>142875</xdr:rowOff>
    </xdr:to>
    <xdr:pic>
      <xdr:nvPicPr>
        <xdr:cNvPr id="10" name="ComboBox6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857750" y="769143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666750</xdr:colOff>
      <xdr:row>210</xdr:row>
      <xdr:rowOff>152400</xdr:rowOff>
    </xdr:from>
    <xdr:to>
      <xdr:col>9</xdr:col>
      <xdr:colOff>800100</xdr:colOff>
      <xdr:row>215</xdr:row>
      <xdr:rowOff>0</xdr:rowOff>
    </xdr:to>
    <xdr:pic>
      <xdr:nvPicPr>
        <xdr:cNvPr id="11" name="ComboBox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857750" y="77581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619125</xdr:colOff>
      <xdr:row>221</xdr:row>
      <xdr:rowOff>28575</xdr:rowOff>
    </xdr:from>
    <xdr:to>
      <xdr:col>9</xdr:col>
      <xdr:colOff>752475</xdr:colOff>
      <xdr:row>225</xdr:row>
      <xdr:rowOff>38100</xdr:rowOff>
    </xdr:to>
    <xdr:pic>
      <xdr:nvPicPr>
        <xdr:cNvPr id="12" name="ComboBox8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4810125" y="792384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226</xdr:row>
      <xdr:rowOff>0</xdr:rowOff>
    </xdr:from>
    <xdr:to>
      <xdr:col>9</xdr:col>
      <xdr:colOff>714375</xdr:colOff>
      <xdr:row>230</xdr:row>
      <xdr:rowOff>9525</xdr:rowOff>
    </xdr:to>
    <xdr:pic>
      <xdr:nvPicPr>
        <xdr:cNvPr id="13" name="ComboBox9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4772025" y="80019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230</xdr:row>
      <xdr:rowOff>85725</xdr:rowOff>
    </xdr:from>
    <xdr:to>
      <xdr:col>9</xdr:col>
      <xdr:colOff>704850</xdr:colOff>
      <xdr:row>234</xdr:row>
      <xdr:rowOff>95250</xdr:rowOff>
    </xdr:to>
    <xdr:pic>
      <xdr:nvPicPr>
        <xdr:cNvPr id="14" name="ComboBox1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4762500" y="807529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235</xdr:row>
      <xdr:rowOff>104775</xdr:rowOff>
    </xdr:from>
    <xdr:to>
      <xdr:col>9</xdr:col>
      <xdr:colOff>676275</xdr:colOff>
      <xdr:row>239</xdr:row>
      <xdr:rowOff>114300</xdr:rowOff>
    </xdr:to>
    <xdr:pic>
      <xdr:nvPicPr>
        <xdr:cNvPr id="15" name="ComboBox1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4733925" y="81581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240</xdr:row>
      <xdr:rowOff>85725</xdr:rowOff>
    </xdr:from>
    <xdr:to>
      <xdr:col>9</xdr:col>
      <xdr:colOff>733425</xdr:colOff>
      <xdr:row>244</xdr:row>
      <xdr:rowOff>95250</xdr:rowOff>
    </xdr:to>
    <xdr:pic>
      <xdr:nvPicPr>
        <xdr:cNvPr id="16" name="ComboBox12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4791075" y="823722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244</xdr:row>
      <xdr:rowOff>95250</xdr:rowOff>
    </xdr:from>
    <xdr:to>
      <xdr:col>9</xdr:col>
      <xdr:colOff>695325</xdr:colOff>
      <xdr:row>248</xdr:row>
      <xdr:rowOff>104775</xdr:rowOff>
    </xdr:to>
    <xdr:pic>
      <xdr:nvPicPr>
        <xdr:cNvPr id="17" name="ComboBox13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52975" y="830294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600075</xdr:colOff>
      <xdr:row>248</xdr:row>
      <xdr:rowOff>152400</xdr:rowOff>
    </xdr:from>
    <xdr:to>
      <xdr:col>9</xdr:col>
      <xdr:colOff>733425</xdr:colOff>
      <xdr:row>253</xdr:row>
      <xdr:rowOff>0</xdr:rowOff>
    </xdr:to>
    <xdr:pic>
      <xdr:nvPicPr>
        <xdr:cNvPr id="18" name="ComboBox1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91075" y="83734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581025</xdr:colOff>
      <xdr:row>253</xdr:row>
      <xdr:rowOff>9525</xdr:rowOff>
    </xdr:from>
    <xdr:to>
      <xdr:col>9</xdr:col>
      <xdr:colOff>714375</xdr:colOff>
      <xdr:row>257</xdr:row>
      <xdr:rowOff>19050</xdr:rowOff>
    </xdr:to>
    <xdr:pic>
      <xdr:nvPicPr>
        <xdr:cNvPr id="19" name="ComboBox1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72025" y="844010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466725</xdr:colOff>
      <xdr:row>261</xdr:row>
      <xdr:rowOff>85725</xdr:rowOff>
    </xdr:from>
    <xdr:to>
      <xdr:col>9</xdr:col>
      <xdr:colOff>600075</xdr:colOff>
      <xdr:row>265</xdr:row>
      <xdr:rowOff>95250</xdr:rowOff>
    </xdr:to>
    <xdr:pic>
      <xdr:nvPicPr>
        <xdr:cNvPr id="20" name="Combo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657725" y="85772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476250</xdr:colOff>
      <xdr:row>265</xdr:row>
      <xdr:rowOff>152400</xdr:rowOff>
    </xdr:from>
    <xdr:to>
      <xdr:col>9</xdr:col>
      <xdr:colOff>609600</xdr:colOff>
      <xdr:row>270</xdr:row>
      <xdr:rowOff>0</xdr:rowOff>
    </xdr:to>
    <xdr:pic>
      <xdr:nvPicPr>
        <xdr:cNvPr id="21" name="Combo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667250" y="864870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270</xdr:row>
      <xdr:rowOff>152400</xdr:rowOff>
    </xdr:from>
    <xdr:to>
      <xdr:col>9</xdr:col>
      <xdr:colOff>657225</xdr:colOff>
      <xdr:row>275</xdr:row>
      <xdr:rowOff>0</xdr:rowOff>
    </xdr:to>
    <xdr:pic>
      <xdr:nvPicPr>
        <xdr:cNvPr id="22" name="ComboBox1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872966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552450</xdr:colOff>
      <xdr:row>281</xdr:row>
      <xdr:rowOff>38100</xdr:rowOff>
    </xdr:from>
    <xdr:to>
      <xdr:col>9</xdr:col>
      <xdr:colOff>685800</xdr:colOff>
      <xdr:row>285</xdr:row>
      <xdr:rowOff>47625</xdr:rowOff>
    </xdr:to>
    <xdr:pic>
      <xdr:nvPicPr>
        <xdr:cNvPr id="23" name="ComboBox2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743450" y="889635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571500</xdr:colOff>
      <xdr:row>285</xdr:row>
      <xdr:rowOff>85725</xdr:rowOff>
    </xdr:from>
    <xdr:to>
      <xdr:col>9</xdr:col>
      <xdr:colOff>704850</xdr:colOff>
      <xdr:row>289</xdr:row>
      <xdr:rowOff>95250</xdr:rowOff>
    </xdr:to>
    <xdr:pic>
      <xdr:nvPicPr>
        <xdr:cNvPr id="24" name="ComboBox21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762500" y="896588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561975</xdr:colOff>
      <xdr:row>289</xdr:row>
      <xdr:rowOff>85725</xdr:rowOff>
    </xdr:from>
    <xdr:to>
      <xdr:col>9</xdr:col>
      <xdr:colOff>695325</xdr:colOff>
      <xdr:row>293</xdr:row>
      <xdr:rowOff>95250</xdr:rowOff>
    </xdr:to>
    <xdr:pic>
      <xdr:nvPicPr>
        <xdr:cNvPr id="25" name="ComboBox2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4752975" y="903065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293</xdr:row>
      <xdr:rowOff>104775</xdr:rowOff>
    </xdr:from>
    <xdr:to>
      <xdr:col>9</xdr:col>
      <xdr:colOff>676275</xdr:colOff>
      <xdr:row>297</xdr:row>
      <xdr:rowOff>114300</xdr:rowOff>
    </xdr:to>
    <xdr:pic>
      <xdr:nvPicPr>
        <xdr:cNvPr id="26" name="ComboBox2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4733925" y="909732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542925</xdr:colOff>
      <xdr:row>298</xdr:row>
      <xdr:rowOff>0</xdr:rowOff>
    </xdr:from>
    <xdr:to>
      <xdr:col>9</xdr:col>
      <xdr:colOff>676275</xdr:colOff>
      <xdr:row>302</xdr:row>
      <xdr:rowOff>9525</xdr:rowOff>
    </xdr:to>
    <xdr:pic>
      <xdr:nvPicPr>
        <xdr:cNvPr id="27" name="ComboBox24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4733925" y="9167812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302</xdr:row>
      <xdr:rowOff>95250</xdr:rowOff>
    </xdr:from>
    <xdr:to>
      <xdr:col>9</xdr:col>
      <xdr:colOff>657225</xdr:colOff>
      <xdr:row>306</xdr:row>
      <xdr:rowOff>104775</xdr:rowOff>
    </xdr:to>
    <xdr:pic>
      <xdr:nvPicPr>
        <xdr:cNvPr id="28" name="ComboBox2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4714875" y="92421075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495300</xdr:colOff>
      <xdr:row>307</xdr:row>
      <xdr:rowOff>57150</xdr:rowOff>
    </xdr:from>
    <xdr:to>
      <xdr:col>9</xdr:col>
      <xdr:colOff>628650</xdr:colOff>
      <xdr:row>311</xdr:row>
      <xdr:rowOff>66675</xdr:rowOff>
    </xdr:to>
    <xdr:pic>
      <xdr:nvPicPr>
        <xdr:cNvPr id="29" name="ComboBox2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4686300" y="9319260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523875</xdr:colOff>
      <xdr:row>311</xdr:row>
      <xdr:rowOff>76200</xdr:rowOff>
    </xdr:from>
    <xdr:to>
      <xdr:col>9</xdr:col>
      <xdr:colOff>657225</xdr:colOff>
      <xdr:row>315</xdr:row>
      <xdr:rowOff>85725</xdr:rowOff>
    </xdr:to>
    <xdr:pic>
      <xdr:nvPicPr>
        <xdr:cNvPr id="30" name="ComboBox27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14875" y="938593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4</xdr:col>
      <xdr:colOff>657225</xdr:colOff>
      <xdr:row>181</xdr:row>
      <xdr:rowOff>133350</xdr:rowOff>
    </xdr:from>
    <xdr:to>
      <xdr:col>9</xdr:col>
      <xdr:colOff>790575</xdr:colOff>
      <xdr:row>185</xdr:row>
      <xdr:rowOff>142875</xdr:rowOff>
    </xdr:to>
    <xdr:pic>
      <xdr:nvPicPr>
        <xdr:cNvPr id="31" name="ComboBox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4848225" y="72866250"/>
          <a:ext cx="5372100" cy="657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J82"/>
  <sheetViews>
    <sheetView zoomScalePageLayoutView="0" workbookViewId="0" topLeftCell="A1">
      <selection activeCell="A31" sqref="A31:E31"/>
    </sheetView>
  </sheetViews>
  <sheetFormatPr defaultColWidth="9.140625" defaultRowHeight="12.75"/>
  <sheetData>
    <row r="1" spans="1:5" ht="12.75">
      <c r="A1" s="118"/>
      <c r="B1" s="118"/>
      <c r="C1" s="118"/>
      <c r="D1" s="118"/>
      <c r="E1" s="118"/>
    </row>
    <row r="2" spans="1:5" ht="12.75">
      <c r="A2" s="117"/>
      <c r="B2" s="117"/>
      <c r="C2" s="117"/>
      <c r="D2" s="117"/>
      <c r="E2" s="117"/>
    </row>
    <row r="3" spans="1:5" ht="12.75">
      <c r="A3" s="117"/>
      <c r="B3" s="117"/>
      <c r="C3" s="117"/>
      <c r="D3" s="117"/>
      <c r="E3" s="117"/>
    </row>
    <row r="4" spans="1:5" ht="12.75">
      <c r="A4" s="117"/>
      <c r="B4" s="117"/>
      <c r="C4" s="117"/>
      <c r="D4" s="117"/>
      <c r="E4" s="117"/>
    </row>
    <row r="5" spans="1:5" ht="12.75">
      <c r="A5" s="117"/>
      <c r="B5" s="117"/>
      <c r="C5" s="117"/>
      <c r="D5" s="117"/>
      <c r="E5" s="117"/>
    </row>
    <row r="6" spans="1:5" ht="12.75">
      <c r="A6" s="117"/>
      <c r="B6" s="117"/>
      <c r="C6" s="117"/>
      <c r="D6" s="117"/>
      <c r="E6" s="117"/>
    </row>
    <row r="7" spans="1:5" ht="12.75">
      <c r="A7" s="117"/>
      <c r="B7" s="117"/>
      <c r="C7" s="117"/>
      <c r="D7" s="117"/>
      <c r="E7" s="117"/>
    </row>
    <row r="8" spans="1:5" ht="12.75">
      <c r="A8" s="117"/>
      <c r="B8" s="117"/>
      <c r="C8" s="117"/>
      <c r="D8" s="117"/>
      <c r="E8" s="117"/>
    </row>
    <row r="9" spans="1:5" ht="12.75">
      <c r="A9" s="117"/>
      <c r="B9" s="117"/>
      <c r="C9" s="117"/>
      <c r="D9" s="117"/>
      <c r="E9" s="117"/>
    </row>
    <row r="10" spans="1:5" ht="12.75">
      <c r="A10" s="117"/>
      <c r="B10" s="117"/>
      <c r="C10" s="117"/>
      <c r="D10" s="117"/>
      <c r="E10" s="117"/>
    </row>
    <row r="11" spans="1:5" ht="12.75">
      <c r="A11" s="117"/>
      <c r="B11" s="117"/>
      <c r="C11" s="117"/>
      <c r="D11" s="117"/>
      <c r="E11" s="117"/>
    </row>
    <row r="12" spans="1:5" ht="12.75">
      <c r="A12" s="117"/>
      <c r="B12" s="117"/>
      <c r="C12" s="117"/>
      <c r="D12" s="117"/>
      <c r="E12" s="117"/>
    </row>
    <row r="13" spans="1:5" ht="12.75">
      <c r="A13" s="117"/>
      <c r="B13" s="117"/>
      <c r="C13" s="117"/>
      <c r="D13" s="117"/>
      <c r="E13" s="117"/>
    </row>
    <row r="14" spans="1:5" ht="12.75">
      <c r="A14" s="117"/>
      <c r="B14" s="117"/>
      <c r="C14" s="117"/>
      <c r="D14" s="117"/>
      <c r="E14" s="117"/>
    </row>
    <row r="15" spans="1:5" ht="12.75">
      <c r="A15" s="117"/>
      <c r="B15" s="117"/>
      <c r="C15" s="117"/>
      <c r="D15" s="117"/>
      <c r="E15" s="117"/>
    </row>
    <row r="16" spans="1:5" ht="12.75">
      <c r="A16" s="117"/>
      <c r="B16" s="117"/>
      <c r="C16" s="117"/>
      <c r="D16" s="117"/>
      <c r="E16" s="117"/>
    </row>
    <row r="17" spans="1:5" ht="12.75">
      <c r="A17" s="117"/>
      <c r="B17" s="117"/>
      <c r="C17" s="117"/>
      <c r="D17" s="117"/>
      <c r="E17" s="117"/>
    </row>
    <row r="18" spans="1:5" ht="12.75">
      <c r="A18" s="117"/>
      <c r="B18" s="117"/>
      <c r="C18" s="117"/>
      <c r="D18" s="117"/>
      <c r="E18" s="117"/>
    </row>
    <row r="19" spans="1:5" ht="12.75">
      <c r="A19" s="117"/>
      <c r="B19" s="117"/>
      <c r="C19" s="117"/>
      <c r="D19" s="117"/>
      <c r="E19" s="117"/>
    </row>
    <row r="20" spans="1:5" ht="12.75">
      <c r="A20" s="117"/>
      <c r="B20" s="117"/>
      <c r="C20" s="117"/>
      <c r="D20" s="117"/>
      <c r="E20" s="117"/>
    </row>
    <row r="21" spans="1:5" ht="12.75">
      <c r="A21" s="117"/>
      <c r="B21" s="117"/>
      <c r="C21" s="117"/>
      <c r="D21" s="117"/>
      <c r="E21" s="117"/>
    </row>
    <row r="22" spans="1:5" ht="12.75">
      <c r="A22" s="117"/>
      <c r="B22" s="117"/>
      <c r="C22" s="117"/>
      <c r="D22" s="117"/>
      <c r="E22" s="117"/>
    </row>
    <row r="23" spans="1:5" ht="12.75">
      <c r="A23" s="117"/>
      <c r="B23" s="117"/>
      <c r="C23" s="117"/>
      <c r="D23" s="117"/>
      <c r="E23" s="117"/>
    </row>
    <row r="24" spans="1:5" ht="12.75">
      <c r="A24" s="117"/>
      <c r="B24" s="117"/>
      <c r="C24" s="117"/>
      <c r="D24" s="117"/>
      <c r="E24" s="117"/>
    </row>
    <row r="25" spans="1:10" ht="12.75">
      <c r="A25" s="116"/>
      <c r="B25" s="116"/>
      <c r="C25" s="116"/>
      <c r="D25" s="116"/>
      <c r="E25" s="116"/>
      <c r="F25" s="117"/>
      <c r="G25" s="117"/>
      <c r="H25" s="117"/>
      <c r="I25" s="117"/>
      <c r="J25" s="117"/>
    </row>
    <row r="26" spans="1:10" ht="12.75">
      <c r="A26" s="116"/>
      <c r="B26" s="116"/>
      <c r="C26" s="116"/>
      <c r="D26" s="116"/>
      <c r="E26" s="116"/>
      <c r="F26" s="116"/>
      <c r="G26" s="116"/>
      <c r="H26" s="116"/>
      <c r="I26" s="116"/>
      <c r="J26" s="116"/>
    </row>
    <row r="27" spans="1:10" ht="12.75">
      <c r="A27" s="116"/>
      <c r="B27" s="116"/>
      <c r="C27" s="116"/>
      <c r="D27" s="116"/>
      <c r="E27" s="116"/>
      <c r="F27" s="116"/>
      <c r="G27" s="116"/>
      <c r="H27" s="116"/>
      <c r="I27" s="116"/>
      <c r="J27" s="116"/>
    </row>
    <row r="28" spans="1:10" ht="12.75">
      <c r="A28" s="116"/>
      <c r="B28" s="116"/>
      <c r="C28" s="116"/>
      <c r="D28" s="116"/>
      <c r="E28" s="116"/>
      <c r="F28" s="116"/>
      <c r="G28" s="116"/>
      <c r="H28" s="116"/>
      <c r="I28" s="116"/>
      <c r="J28" s="116"/>
    </row>
    <row r="29" spans="1:10" ht="12.75">
      <c r="A29" s="116"/>
      <c r="B29" s="116"/>
      <c r="C29" s="116"/>
      <c r="D29" s="116"/>
      <c r="E29" s="116"/>
      <c r="F29" s="116"/>
      <c r="G29" s="116"/>
      <c r="H29" s="116"/>
      <c r="I29" s="116"/>
      <c r="J29" s="116"/>
    </row>
    <row r="30" spans="1:10" ht="12.75">
      <c r="A30" s="116"/>
      <c r="B30" s="116"/>
      <c r="C30" s="116"/>
      <c r="D30" s="116"/>
      <c r="E30" s="116"/>
      <c r="F30" s="116"/>
      <c r="G30" s="116"/>
      <c r="H30" s="116"/>
      <c r="I30" s="116"/>
      <c r="J30" s="116"/>
    </row>
    <row r="31" spans="1:10" ht="12.75">
      <c r="A31" s="116"/>
      <c r="B31" s="116"/>
      <c r="C31" s="116"/>
      <c r="D31" s="116"/>
      <c r="E31" s="116"/>
      <c r="F31" s="116"/>
      <c r="G31" s="116"/>
      <c r="H31" s="116"/>
      <c r="I31" s="116"/>
      <c r="J31" s="116"/>
    </row>
    <row r="32" spans="1:10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</row>
    <row r="33" spans="1:10" ht="12.75">
      <c r="A33" s="116"/>
      <c r="B33" s="116"/>
      <c r="C33" s="116"/>
      <c r="D33" s="116"/>
      <c r="E33" s="116"/>
      <c r="F33" s="116"/>
      <c r="G33" s="116"/>
      <c r="H33" s="116"/>
      <c r="I33" s="116"/>
      <c r="J33" s="116"/>
    </row>
    <row r="34" spans="1:10" ht="12.75">
      <c r="A34" s="116"/>
      <c r="B34" s="116"/>
      <c r="C34" s="116"/>
      <c r="D34" s="116"/>
      <c r="E34" s="116"/>
      <c r="F34" s="116"/>
      <c r="G34" s="116"/>
      <c r="H34" s="116"/>
      <c r="I34" s="116"/>
      <c r="J34" s="116"/>
    </row>
    <row r="35" spans="1:10" ht="12.75">
      <c r="A35" s="116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1:10" ht="12.75">
      <c r="A36" s="116"/>
      <c r="B36" s="116"/>
      <c r="C36" s="116"/>
      <c r="D36" s="116"/>
      <c r="E36" s="116"/>
      <c r="F36" s="116"/>
      <c r="G36" s="116"/>
      <c r="H36" s="116"/>
      <c r="I36" s="116"/>
      <c r="J36" s="116"/>
    </row>
    <row r="37" spans="1:10" ht="12.75">
      <c r="A37" s="116"/>
      <c r="B37" s="116"/>
      <c r="C37" s="116"/>
      <c r="D37" s="116"/>
      <c r="E37" s="116"/>
      <c r="F37" s="116"/>
      <c r="G37" s="116"/>
      <c r="H37" s="116"/>
      <c r="I37" s="116"/>
      <c r="J37" s="116"/>
    </row>
    <row r="38" spans="1:10" ht="12.75">
      <c r="A38" s="116"/>
      <c r="B38" s="116"/>
      <c r="C38" s="116"/>
      <c r="D38" s="116"/>
      <c r="E38" s="116"/>
      <c r="F38" s="116"/>
      <c r="G38" s="116"/>
      <c r="H38" s="116"/>
      <c r="I38" s="116"/>
      <c r="J38" s="116"/>
    </row>
    <row r="39" spans="1:10" ht="12.75">
      <c r="A39" s="116"/>
      <c r="B39" s="116"/>
      <c r="C39" s="116"/>
      <c r="D39" s="116"/>
      <c r="E39" s="116"/>
      <c r="F39" s="116"/>
      <c r="G39" s="116"/>
      <c r="H39" s="116"/>
      <c r="I39" s="116"/>
      <c r="J39" s="116"/>
    </row>
    <row r="40" spans="1:10" ht="12.75">
      <c r="A40" s="116"/>
      <c r="B40" s="116"/>
      <c r="C40" s="116"/>
      <c r="D40" s="116"/>
      <c r="E40" s="116"/>
      <c r="F40" s="116"/>
      <c r="G40" s="116"/>
      <c r="H40" s="116"/>
      <c r="I40" s="116"/>
      <c r="J40" s="116"/>
    </row>
    <row r="41" spans="1:10" ht="12.75">
      <c r="A41" s="116"/>
      <c r="B41" s="116"/>
      <c r="C41" s="116"/>
      <c r="D41" s="116"/>
      <c r="E41" s="116"/>
      <c r="F41" s="116"/>
      <c r="G41" s="116"/>
      <c r="H41" s="116"/>
      <c r="I41" s="116"/>
      <c r="J41" s="116"/>
    </row>
    <row r="42" spans="1:10" ht="12.75">
      <c r="A42" s="116"/>
      <c r="B42" s="116"/>
      <c r="C42" s="116"/>
      <c r="D42" s="116"/>
      <c r="E42" s="116"/>
      <c r="F42" s="116"/>
      <c r="G42" s="116"/>
      <c r="H42" s="116"/>
      <c r="I42" s="116"/>
      <c r="J42" s="116"/>
    </row>
    <row r="43" spans="1:10" ht="12.75">
      <c r="A43" s="116"/>
      <c r="B43" s="116"/>
      <c r="C43" s="116"/>
      <c r="D43" s="116"/>
      <c r="E43" s="116"/>
      <c r="F43" s="116"/>
      <c r="G43" s="116"/>
      <c r="H43" s="116"/>
      <c r="I43" s="116"/>
      <c r="J43" s="116"/>
    </row>
    <row r="44" spans="1:10" ht="12.75">
      <c r="A44" s="116"/>
      <c r="B44" s="116"/>
      <c r="C44" s="116"/>
      <c r="D44" s="116"/>
      <c r="E44" s="116"/>
      <c r="F44" s="116"/>
      <c r="G44" s="116"/>
      <c r="H44" s="116"/>
      <c r="I44" s="116"/>
      <c r="J44" s="116"/>
    </row>
    <row r="45" spans="1:10" ht="12.75">
      <c r="A45" s="116"/>
      <c r="B45" s="116"/>
      <c r="C45" s="116"/>
      <c r="D45" s="116"/>
      <c r="E45" s="116"/>
      <c r="F45" s="116"/>
      <c r="G45" s="116"/>
      <c r="H45" s="116"/>
      <c r="I45" s="116"/>
      <c r="J45" s="116"/>
    </row>
    <row r="46" spans="1:10" ht="12.75">
      <c r="A46" s="116"/>
      <c r="B46" s="116"/>
      <c r="C46" s="116"/>
      <c r="D46" s="116"/>
      <c r="E46" s="116"/>
      <c r="F46" s="116"/>
      <c r="G46" s="116"/>
      <c r="H46" s="116"/>
      <c r="I46" s="116"/>
      <c r="J46" s="116"/>
    </row>
    <row r="47" spans="1:10" ht="12.75">
      <c r="A47" s="116"/>
      <c r="B47" s="116"/>
      <c r="C47" s="116"/>
      <c r="D47" s="116"/>
      <c r="E47" s="116"/>
      <c r="F47" s="116"/>
      <c r="G47" s="116"/>
      <c r="H47" s="116"/>
      <c r="I47" s="116"/>
      <c r="J47" s="116"/>
    </row>
    <row r="48" spans="1:10" ht="12.75">
      <c r="A48" s="116"/>
      <c r="B48" s="116"/>
      <c r="C48" s="116"/>
      <c r="D48" s="116"/>
      <c r="E48" s="116"/>
      <c r="F48" s="116"/>
      <c r="G48" s="116"/>
      <c r="H48" s="116"/>
      <c r="I48" s="116"/>
      <c r="J48" s="116"/>
    </row>
    <row r="49" spans="1:10" ht="12.75">
      <c r="A49" s="116"/>
      <c r="B49" s="116"/>
      <c r="C49" s="116"/>
      <c r="D49" s="116"/>
      <c r="E49" s="116"/>
      <c r="F49" s="116"/>
      <c r="G49" s="116"/>
      <c r="H49" s="116"/>
      <c r="I49" s="116"/>
      <c r="J49" s="116"/>
    </row>
    <row r="50" spans="1:10" ht="12.75">
      <c r="A50" s="116"/>
      <c r="B50" s="116"/>
      <c r="C50" s="116"/>
      <c r="D50" s="116"/>
      <c r="E50" s="116"/>
      <c r="F50" s="116"/>
      <c r="G50" s="116"/>
      <c r="H50" s="116"/>
      <c r="I50" s="116"/>
      <c r="J50" s="116"/>
    </row>
    <row r="51" spans="1:10" ht="12.75">
      <c r="A51" s="116"/>
      <c r="B51" s="116"/>
      <c r="C51" s="116"/>
      <c r="D51" s="116"/>
      <c r="E51" s="116"/>
      <c r="F51" s="116"/>
      <c r="G51" s="116"/>
      <c r="H51" s="116"/>
      <c r="I51" s="116"/>
      <c r="J51" s="116"/>
    </row>
    <row r="52" spans="1:10" ht="12.75">
      <c r="A52" s="116"/>
      <c r="B52" s="116"/>
      <c r="C52" s="116"/>
      <c r="D52" s="116"/>
      <c r="E52" s="116"/>
      <c r="F52" s="116"/>
      <c r="G52" s="116"/>
      <c r="H52" s="116"/>
      <c r="I52" s="116"/>
      <c r="J52" s="116"/>
    </row>
    <row r="53" spans="1:10" ht="12.75">
      <c r="A53" s="116"/>
      <c r="B53" s="116"/>
      <c r="C53" s="116"/>
      <c r="D53" s="116"/>
      <c r="E53" s="116"/>
      <c r="F53" s="116"/>
      <c r="G53" s="116"/>
      <c r="H53" s="116"/>
      <c r="I53" s="116"/>
      <c r="J53" s="116"/>
    </row>
    <row r="54" spans="1:10" ht="12.75">
      <c r="A54" s="116"/>
      <c r="B54" s="116"/>
      <c r="C54" s="116"/>
      <c r="D54" s="116"/>
      <c r="E54" s="116"/>
      <c r="F54" s="116"/>
      <c r="G54" s="116"/>
      <c r="H54" s="116"/>
      <c r="I54" s="116"/>
      <c r="J54" s="116"/>
    </row>
    <row r="55" spans="6:10" ht="12.75">
      <c r="F55" s="116"/>
      <c r="G55" s="116"/>
      <c r="H55" s="116"/>
      <c r="I55" s="116"/>
      <c r="J55" s="116"/>
    </row>
    <row r="56" spans="6:10" ht="12.75">
      <c r="F56" s="114"/>
      <c r="G56" s="114"/>
      <c r="H56" s="114"/>
      <c r="I56" s="114"/>
      <c r="J56" s="115"/>
    </row>
    <row r="57" spans="6:10" ht="12.75">
      <c r="F57" s="114"/>
      <c r="G57" s="114"/>
      <c r="H57" s="114"/>
      <c r="I57" s="114"/>
      <c r="J57" s="115"/>
    </row>
    <row r="58" spans="6:10" ht="12.75">
      <c r="F58" s="114"/>
      <c r="G58" s="114"/>
      <c r="H58" s="114"/>
      <c r="I58" s="114"/>
      <c r="J58" s="115"/>
    </row>
    <row r="59" spans="6:10" ht="12.75">
      <c r="F59" s="114"/>
      <c r="G59" s="114"/>
      <c r="H59" s="114"/>
      <c r="I59" s="114"/>
      <c r="J59" s="115"/>
    </row>
    <row r="60" spans="6:10" ht="12.75">
      <c r="F60" s="114"/>
      <c r="G60" s="114"/>
      <c r="H60" s="114"/>
      <c r="I60" s="114"/>
      <c r="J60" s="115"/>
    </row>
    <row r="61" spans="6:10" ht="12.75">
      <c r="F61" s="114"/>
      <c r="G61" s="114"/>
      <c r="H61" s="114"/>
      <c r="I61" s="114"/>
      <c r="J61" s="115"/>
    </row>
    <row r="62" spans="6:10" ht="12.75">
      <c r="F62" s="114"/>
      <c r="G62" s="114"/>
      <c r="H62" s="114"/>
      <c r="I62" s="114"/>
      <c r="J62" s="115"/>
    </row>
    <row r="63" spans="6:10" ht="12.75">
      <c r="F63" s="114"/>
      <c r="G63" s="114"/>
      <c r="H63" s="114"/>
      <c r="I63" s="114"/>
      <c r="J63" s="115"/>
    </row>
    <row r="64" spans="6:10" ht="12.75">
      <c r="F64" s="114"/>
      <c r="G64" s="114"/>
      <c r="H64" s="114"/>
      <c r="I64" s="114"/>
      <c r="J64" s="115"/>
    </row>
    <row r="65" spans="6:10" ht="12.75">
      <c r="F65" s="114"/>
      <c r="G65" s="114"/>
      <c r="H65" s="114"/>
      <c r="I65" s="114"/>
      <c r="J65" s="115"/>
    </row>
    <row r="66" spans="6:10" ht="12.75">
      <c r="F66" s="114"/>
      <c r="G66" s="114"/>
      <c r="H66" s="114"/>
      <c r="I66" s="114"/>
      <c r="J66" s="115"/>
    </row>
    <row r="67" spans="6:10" ht="12.75">
      <c r="F67" s="114"/>
      <c r="G67" s="114"/>
      <c r="H67" s="114"/>
      <c r="I67" s="114"/>
      <c r="J67" s="115"/>
    </row>
    <row r="68" spans="6:10" ht="12.75">
      <c r="F68" s="114"/>
      <c r="G68" s="114"/>
      <c r="H68" s="114"/>
      <c r="I68" s="114"/>
      <c r="J68" s="115"/>
    </row>
    <row r="69" spans="6:10" ht="12.75">
      <c r="F69" s="114"/>
      <c r="G69" s="114"/>
      <c r="H69" s="114"/>
      <c r="I69" s="114"/>
      <c r="J69" s="115"/>
    </row>
    <row r="70" spans="6:10" ht="12.75">
      <c r="F70" s="114"/>
      <c r="G70" s="114"/>
      <c r="H70" s="114"/>
      <c r="I70" s="114"/>
      <c r="J70" s="115"/>
    </row>
    <row r="71" spans="6:10" ht="12.75">
      <c r="F71" s="114"/>
      <c r="G71" s="114"/>
      <c r="H71" s="114"/>
      <c r="I71" s="114"/>
      <c r="J71" s="115"/>
    </row>
    <row r="72" spans="6:10" ht="12.75">
      <c r="F72" s="114"/>
      <c r="G72" s="114"/>
      <c r="H72" s="114"/>
      <c r="I72" s="114"/>
      <c r="J72" s="115"/>
    </row>
    <row r="73" spans="6:10" ht="12.75">
      <c r="F73" s="114"/>
      <c r="G73" s="114"/>
      <c r="H73" s="114"/>
      <c r="I73" s="114"/>
      <c r="J73" s="115"/>
    </row>
    <row r="74" spans="6:10" ht="12.75">
      <c r="F74" s="114"/>
      <c r="G74" s="114"/>
      <c r="H74" s="114"/>
      <c r="I74" s="114"/>
      <c r="J74" s="115"/>
    </row>
    <row r="75" spans="6:10" ht="12.75">
      <c r="F75" s="109"/>
      <c r="G75" s="109"/>
      <c r="H75" s="109"/>
      <c r="I75" s="109"/>
      <c r="J75" s="110"/>
    </row>
    <row r="76" spans="6:10" ht="12.75">
      <c r="F76" s="111"/>
      <c r="G76" s="112"/>
      <c r="H76" s="112"/>
      <c r="I76" s="112"/>
      <c r="J76" s="113"/>
    </row>
    <row r="77" spans="6:10" ht="12.75">
      <c r="F77" s="111"/>
      <c r="G77" s="112"/>
      <c r="H77" s="112"/>
      <c r="I77" s="112"/>
      <c r="J77" s="113"/>
    </row>
    <row r="78" spans="6:10" ht="12.75">
      <c r="F78" s="111"/>
      <c r="G78" s="112"/>
      <c r="H78" s="112"/>
      <c r="I78" s="112"/>
      <c r="J78" s="113"/>
    </row>
    <row r="79" spans="6:10" ht="12.75">
      <c r="F79" s="111"/>
      <c r="G79" s="112"/>
      <c r="H79" s="112"/>
      <c r="I79" s="112"/>
      <c r="J79" s="113"/>
    </row>
    <row r="80" spans="6:10" ht="12.75">
      <c r="F80" s="111"/>
      <c r="G80" s="112"/>
      <c r="H80" s="112"/>
      <c r="I80" s="112"/>
      <c r="J80" s="113"/>
    </row>
    <row r="81" spans="6:10" ht="12.75">
      <c r="F81" s="111"/>
      <c r="G81" s="112"/>
      <c r="H81" s="112"/>
      <c r="I81" s="112"/>
      <c r="J81" s="113"/>
    </row>
    <row r="82" spans="6:10" ht="12.75">
      <c r="F82" s="111"/>
      <c r="G82" s="112"/>
      <c r="H82" s="112"/>
      <c r="I82" s="112"/>
      <c r="J82" s="113"/>
    </row>
  </sheetData>
  <sheetProtection/>
  <mergeCells count="112">
    <mergeCell ref="A43:E43"/>
    <mergeCell ref="A44:E44"/>
    <mergeCell ref="A51:E51"/>
    <mergeCell ref="A52:E52"/>
    <mergeCell ref="A53:E53"/>
    <mergeCell ref="A54:E54"/>
    <mergeCell ref="A47:E47"/>
    <mergeCell ref="A48:E48"/>
    <mergeCell ref="A49:E49"/>
    <mergeCell ref="A50:E50"/>
    <mergeCell ref="A35:E35"/>
    <mergeCell ref="A36:E36"/>
    <mergeCell ref="A45:E45"/>
    <mergeCell ref="A46:E46"/>
    <mergeCell ref="A39:E39"/>
    <mergeCell ref="A40:E40"/>
    <mergeCell ref="A41:E41"/>
    <mergeCell ref="A42:E42"/>
    <mergeCell ref="A37:E37"/>
    <mergeCell ref="A38:E38"/>
    <mergeCell ref="A25:E25"/>
    <mergeCell ref="A26:E26"/>
    <mergeCell ref="A33:E33"/>
    <mergeCell ref="A34:E34"/>
    <mergeCell ref="A27:E27"/>
    <mergeCell ref="A28:E28"/>
    <mergeCell ref="A29:E29"/>
    <mergeCell ref="A30:E30"/>
    <mergeCell ref="A31:E31"/>
    <mergeCell ref="A32:E32"/>
    <mergeCell ref="A21:E21"/>
    <mergeCell ref="A22:E22"/>
    <mergeCell ref="A23:E23"/>
    <mergeCell ref="A24:E24"/>
    <mergeCell ref="A7:E7"/>
    <mergeCell ref="A8:E8"/>
    <mergeCell ref="A19:E19"/>
    <mergeCell ref="A20:E20"/>
    <mergeCell ref="A17:E17"/>
    <mergeCell ref="A18:E18"/>
    <mergeCell ref="A1:E1"/>
    <mergeCell ref="A2:E2"/>
    <mergeCell ref="A3:E3"/>
    <mergeCell ref="A4:E4"/>
    <mergeCell ref="A5:E5"/>
    <mergeCell ref="A6:E6"/>
    <mergeCell ref="F25:J25"/>
    <mergeCell ref="F26:J26"/>
    <mergeCell ref="A9:E9"/>
    <mergeCell ref="A10:E10"/>
    <mergeCell ref="A11:E11"/>
    <mergeCell ref="A12:E12"/>
    <mergeCell ref="A15:E15"/>
    <mergeCell ref="A16:E16"/>
    <mergeCell ref="A13:E13"/>
    <mergeCell ref="A14:E14"/>
    <mergeCell ref="F41:J41"/>
    <mergeCell ref="F42:J42"/>
    <mergeCell ref="F27:J27"/>
    <mergeCell ref="F28:J28"/>
    <mergeCell ref="F29:J29"/>
    <mergeCell ref="F30:J30"/>
    <mergeCell ref="F31:J31"/>
    <mergeCell ref="F32:J32"/>
    <mergeCell ref="F33:J33"/>
    <mergeCell ref="F34:J34"/>
    <mergeCell ref="F35:J35"/>
    <mergeCell ref="F36:J36"/>
    <mergeCell ref="F37:J37"/>
    <mergeCell ref="F38:J38"/>
    <mergeCell ref="F39:J39"/>
    <mergeCell ref="F40:J40"/>
    <mergeCell ref="F57:J57"/>
    <mergeCell ref="F58:J58"/>
    <mergeCell ref="F43:J43"/>
    <mergeCell ref="F44:J44"/>
    <mergeCell ref="F45:J45"/>
    <mergeCell ref="F46:J46"/>
    <mergeCell ref="F47:J47"/>
    <mergeCell ref="F48:J48"/>
    <mergeCell ref="F49:J49"/>
    <mergeCell ref="F50:J50"/>
    <mergeCell ref="F51:J51"/>
    <mergeCell ref="F52:J52"/>
    <mergeCell ref="F53:J53"/>
    <mergeCell ref="F54:J54"/>
    <mergeCell ref="F55:J55"/>
    <mergeCell ref="F56:J56"/>
    <mergeCell ref="F73:J73"/>
    <mergeCell ref="F74:J74"/>
    <mergeCell ref="F59:J59"/>
    <mergeCell ref="F60:J60"/>
    <mergeCell ref="F61:J61"/>
    <mergeCell ref="F62:J62"/>
    <mergeCell ref="F63:J63"/>
    <mergeCell ref="F64:J64"/>
    <mergeCell ref="F65:J65"/>
    <mergeCell ref="F66:J66"/>
    <mergeCell ref="F67:J67"/>
    <mergeCell ref="F68:J68"/>
    <mergeCell ref="F69:J69"/>
    <mergeCell ref="F70:J70"/>
    <mergeCell ref="F71:J71"/>
    <mergeCell ref="F72:J72"/>
    <mergeCell ref="F75:J75"/>
    <mergeCell ref="F76:J76"/>
    <mergeCell ref="F81:J81"/>
    <mergeCell ref="F82:J82"/>
    <mergeCell ref="F77:J77"/>
    <mergeCell ref="F78:J78"/>
    <mergeCell ref="F79:J79"/>
    <mergeCell ref="F80:J8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M392"/>
  <sheetViews>
    <sheetView zoomScale="75" zoomScaleNormal="75" zoomScalePageLayoutView="0" workbookViewId="0" topLeftCell="T1">
      <selection activeCell="T22" sqref="T22:X25"/>
    </sheetView>
  </sheetViews>
  <sheetFormatPr defaultColWidth="9.140625" defaultRowHeight="12.75"/>
  <cols>
    <col min="14" max="14" width="13.8515625" style="0" customWidth="1"/>
  </cols>
  <sheetData>
    <row r="1" spans="1:39" ht="22.5" customHeight="1">
      <c r="A1" s="147"/>
      <c r="B1" s="148"/>
      <c r="C1" s="148"/>
      <c r="D1" s="148"/>
      <c r="E1" s="149"/>
      <c r="F1" s="144"/>
      <c r="G1" s="147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35"/>
      <c r="AI1" s="135"/>
      <c r="AJ1" s="135"/>
      <c r="AK1" s="135"/>
      <c r="AL1" s="135"/>
      <c r="AM1" s="135"/>
    </row>
    <row r="2" spans="1:39" ht="12.75">
      <c r="A2" s="135"/>
      <c r="B2" s="135"/>
      <c r="C2" s="135"/>
      <c r="D2" s="135"/>
      <c r="E2" s="135"/>
      <c r="F2" s="145"/>
      <c r="G2" s="138"/>
      <c r="H2" s="139"/>
      <c r="I2" s="139"/>
      <c r="J2" s="139"/>
      <c r="K2" s="139"/>
      <c r="L2" s="139"/>
      <c r="M2" s="139"/>
      <c r="N2" s="140"/>
      <c r="O2" s="138"/>
      <c r="P2" s="139"/>
      <c r="Q2" s="139"/>
      <c r="R2" s="139"/>
      <c r="S2" s="139"/>
      <c r="T2" s="139"/>
      <c r="U2" s="139"/>
      <c r="V2" s="139"/>
      <c r="W2" s="140"/>
      <c r="X2" s="138"/>
      <c r="Y2" s="139"/>
      <c r="Z2" s="139"/>
      <c r="AA2" s="140"/>
      <c r="AB2" s="138"/>
      <c r="AC2" s="139"/>
      <c r="AD2" s="139"/>
      <c r="AE2" s="139"/>
      <c r="AF2" s="140"/>
      <c r="AG2" s="138"/>
      <c r="AH2" s="135"/>
      <c r="AI2" s="135"/>
      <c r="AJ2" s="135"/>
      <c r="AK2" s="135"/>
      <c r="AL2" s="135"/>
      <c r="AM2" s="135"/>
    </row>
    <row r="3" spans="1:39" ht="12.75">
      <c r="A3" s="135"/>
      <c r="B3" s="135"/>
      <c r="C3" s="135"/>
      <c r="D3" s="135"/>
      <c r="E3" s="135"/>
      <c r="F3" s="145"/>
      <c r="G3" s="141"/>
      <c r="H3" s="142"/>
      <c r="I3" s="142"/>
      <c r="J3" s="142"/>
      <c r="K3" s="142"/>
      <c r="L3" s="142"/>
      <c r="M3" s="142"/>
      <c r="N3" s="143"/>
      <c r="O3" s="141"/>
      <c r="P3" s="142"/>
      <c r="Q3" s="142"/>
      <c r="R3" s="142"/>
      <c r="S3" s="142"/>
      <c r="T3" s="142"/>
      <c r="U3" s="142"/>
      <c r="V3" s="142"/>
      <c r="W3" s="143"/>
      <c r="X3" s="141"/>
      <c r="Y3" s="142"/>
      <c r="Z3" s="142"/>
      <c r="AA3" s="143"/>
      <c r="AB3" s="141"/>
      <c r="AC3" s="142"/>
      <c r="AD3" s="142"/>
      <c r="AE3" s="142"/>
      <c r="AF3" s="143"/>
      <c r="AG3" s="141"/>
      <c r="AH3" s="138"/>
      <c r="AI3" s="139"/>
      <c r="AJ3" s="140"/>
      <c r="AK3" s="138"/>
      <c r="AL3" s="139"/>
      <c r="AM3" s="140"/>
    </row>
    <row r="4" spans="1:39" ht="12.75">
      <c r="A4" s="135"/>
      <c r="B4" s="135"/>
      <c r="C4" s="135"/>
      <c r="D4" s="135"/>
      <c r="E4" s="135"/>
      <c r="F4" s="146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141"/>
      <c r="AI4" s="142"/>
      <c r="AJ4" s="143"/>
      <c r="AK4" s="141"/>
      <c r="AL4" s="142"/>
      <c r="AM4" s="143"/>
    </row>
    <row r="5" spans="1:39" ht="12.75">
      <c r="A5" s="150"/>
      <c r="B5" s="150"/>
      <c r="C5" s="150"/>
      <c r="D5" s="150"/>
      <c r="E5" s="150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50"/>
      <c r="AI5" s="150"/>
      <c r="AJ5" s="150"/>
      <c r="AK5" s="150"/>
      <c r="AL5" s="150"/>
      <c r="AM5" s="150"/>
    </row>
    <row r="6" spans="1:39" ht="12.75">
      <c r="A6" s="117"/>
      <c r="B6" s="117"/>
      <c r="C6" s="117"/>
      <c r="D6" s="117"/>
      <c r="E6" s="117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116"/>
      <c r="AI6" s="116"/>
      <c r="AJ6" s="116"/>
      <c r="AK6" s="116"/>
      <c r="AL6" s="116"/>
      <c r="AM6" s="116"/>
    </row>
    <row r="7" spans="1:39" ht="12.75" customHeight="1">
      <c r="A7" s="151"/>
      <c r="B7" s="151"/>
      <c r="C7" s="151"/>
      <c r="D7" s="151"/>
      <c r="E7" s="1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116"/>
      <c r="AI7" s="116"/>
      <c r="AJ7" s="116"/>
      <c r="AK7" s="116"/>
      <c r="AL7" s="116"/>
      <c r="AM7" s="116"/>
    </row>
    <row r="8" spans="1:39" ht="12.75">
      <c r="A8" s="120"/>
      <c r="B8" s="120"/>
      <c r="C8" s="120"/>
      <c r="D8" s="120"/>
      <c r="E8" s="120"/>
      <c r="F8" s="3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116"/>
      <c r="AI8" s="116"/>
      <c r="AJ8" s="116"/>
      <c r="AK8" s="116"/>
      <c r="AL8" s="116"/>
      <c r="AM8" s="116"/>
    </row>
    <row r="9" spans="1:39" ht="12.75">
      <c r="A9" s="120"/>
      <c r="B9" s="120"/>
      <c r="C9" s="120"/>
      <c r="D9" s="120"/>
      <c r="E9" s="120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116"/>
      <c r="AI9" s="116"/>
      <c r="AJ9" s="116"/>
      <c r="AK9" s="116"/>
      <c r="AL9" s="116"/>
      <c r="AM9" s="116"/>
    </row>
    <row r="10" spans="1:39" ht="12.75">
      <c r="A10" s="120"/>
      <c r="B10" s="120"/>
      <c r="C10" s="120"/>
      <c r="D10" s="120"/>
      <c r="E10" s="120"/>
      <c r="F10" s="3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116"/>
      <c r="AI10" s="116"/>
      <c r="AJ10" s="116"/>
      <c r="AK10" s="116"/>
      <c r="AL10" s="116"/>
      <c r="AM10" s="116"/>
    </row>
    <row r="11" spans="1:39" ht="12.75" customHeight="1">
      <c r="A11" s="120"/>
      <c r="B11" s="120"/>
      <c r="C11" s="120"/>
      <c r="D11" s="120"/>
      <c r="E11" s="120"/>
      <c r="F11" s="3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116"/>
      <c r="AI11" s="116"/>
      <c r="AJ11" s="116"/>
      <c r="AK11" s="116"/>
      <c r="AL11" s="116"/>
      <c r="AM11" s="116"/>
    </row>
    <row r="12" spans="1:39" ht="12.75">
      <c r="A12" s="120"/>
      <c r="B12" s="120"/>
      <c r="C12" s="120"/>
      <c r="D12" s="120"/>
      <c r="E12" s="120"/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116"/>
      <c r="AI12" s="116"/>
      <c r="AJ12" s="116"/>
      <c r="AK12" s="116"/>
      <c r="AL12" s="116"/>
      <c r="AM12" s="116"/>
    </row>
    <row r="13" spans="1:39" ht="12.75">
      <c r="A13" s="120"/>
      <c r="B13" s="120"/>
      <c r="C13" s="120"/>
      <c r="D13" s="120"/>
      <c r="E13" s="120"/>
      <c r="F13" s="3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116"/>
      <c r="AI13" s="116"/>
      <c r="AJ13" s="116"/>
      <c r="AK13" s="116"/>
      <c r="AL13" s="116"/>
      <c r="AM13" s="116"/>
    </row>
    <row r="14" spans="1:39" ht="12.75">
      <c r="A14" s="120"/>
      <c r="B14" s="120"/>
      <c r="C14" s="120"/>
      <c r="D14" s="120"/>
      <c r="E14" s="120"/>
      <c r="F14" s="3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116"/>
      <c r="AI14" s="116"/>
      <c r="AJ14" s="116"/>
      <c r="AK14" s="116"/>
      <c r="AL14" s="116"/>
      <c r="AM14" s="116"/>
    </row>
    <row r="15" spans="1:39" ht="12.75" customHeight="1">
      <c r="A15" s="120"/>
      <c r="B15" s="120"/>
      <c r="C15" s="120"/>
      <c r="D15" s="120"/>
      <c r="E15" s="120"/>
      <c r="F15" s="3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116"/>
      <c r="AI15" s="116"/>
      <c r="AJ15" s="116"/>
      <c r="AK15" s="116"/>
      <c r="AL15" s="116"/>
      <c r="AM15" s="116"/>
    </row>
    <row r="16" spans="1:39" ht="12.75" customHeight="1">
      <c r="A16" s="120"/>
      <c r="B16" s="120"/>
      <c r="C16" s="120"/>
      <c r="D16" s="120"/>
      <c r="E16" s="120"/>
      <c r="F16" s="3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116"/>
      <c r="AI16" s="116"/>
      <c r="AJ16" s="116"/>
      <c r="AK16" s="116"/>
      <c r="AL16" s="116"/>
      <c r="AM16" s="116"/>
    </row>
    <row r="17" spans="1:39" ht="12.75" customHeight="1">
      <c r="A17" s="120"/>
      <c r="B17" s="120"/>
      <c r="C17" s="120"/>
      <c r="D17" s="120"/>
      <c r="E17" s="120"/>
      <c r="F17" s="3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116"/>
      <c r="AI17" s="116"/>
      <c r="AJ17" s="116"/>
      <c r="AK17" s="116"/>
      <c r="AL17" s="116"/>
      <c r="AM17" s="116"/>
    </row>
    <row r="18" spans="1:39" ht="12.75" customHeight="1">
      <c r="A18" s="120"/>
      <c r="B18" s="120"/>
      <c r="C18" s="120"/>
      <c r="D18" s="120"/>
      <c r="E18" s="120"/>
      <c r="F18" s="3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116"/>
      <c r="AI18" s="116"/>
      <c r="AJ18" s="116"/>
      <c r="AK18" s="116"/>
      <c r="AL18" s="116"/>
      <c r="AM18" s="116"/>
    </row>
    <row r="19" spans="1:39" ht="12.75" customHeight="1">
      <c r="A19" s="120"/>
      <c r="B19" s="120"/>
      <c r="C19" s="120"/>
      <c r="D19" s="120"/>
      <c r="E19" s="120"/>
      <c r="F19" s="3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116"/>
      <c r="AI19" s="116"/>
      <c r="AJ19" s="116"/>
      <c r="AK19" s="116"/>
      <c r="AL19" s="116"/>
      <c r="AM19" s="116"/>
    </row>
    <row r="20" spans="1:39" ht="12.75" customHeight="1">
      <c r="A20" s="120"/>
      <c r="B20" s="120"/>
      <c r="C20" s="120"/>
      <c r="D20" s="120"/>
      <c r="E20" s="120"/>
      <c r="F20" s="3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116"/>
      <c r="AI20" s="116"/>
      <c r="AJ20" s="116"/>
      <c r="AK20" s="116"/>
      <c r="AL20" s="116"/>
      <c r="AM20" s="116"/>
    </row>
    <row r="21" spans="1:39" ht="12.75" customHeight="1">
      <c r="A21" s="120"/>
      <c r="B21" s="120"/>
      <c r="C21" s="120"/>
      <c r="D21" s="120"/>
      <c r="E21" s="120"/>
      <c r="F21" s="3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116"/>
      <c r="AI21" s="116"/>
      <c r="AJ21" s="116"/>
      <c r="AK21" s="116"/>
      <c r="AL21" s="116"/>
      <c r="AM21" s="116"/>
    </row>
    <row r="22" spans="1:39" ht="12.75" customHeight="1">
      <c r="A22" s="120"/>
      <c r="B22" s="120"/>
      <c r="C22" s="120"/>
      <c r="D22" s="120"/>
      <c r="E22" s="120"/>
      <c r="F22" s="3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120" t="s">
        <v>17</v>
      </c>
      <c r="U22" s="120"/>
      <c r="V22" s="120"/>
      <c r="W22" s="120"/>
      <c r="X22" s="120"/>
      <c r="Y22" s="2"/>
      <c r="Z22" s="2"/>
      <c r="AA22" s="2"/>
      <c r="AB22" s="2"/>
      <c r="AC22" s="2"/>
      <c r="AD22" s="2"/>
      <c r="AE22" s="2"/>
      <c r="AF22" s="2"/>
      <c r="AG22" s="2"/>
      <c r="AH22" s="116"/>
      <c r="AI22" s="116"/>
      <c r="AJ22" s="116"/>
      <c r="AK22" s="116"/>
      <c r="AL22" s="116"/>
      <c r="AM22" s="116"/>
    </row>
    <row r="23" spans="1:39" ht="12.75">
      <c r="A23" s="120"/>
      <c r="B23" s="120"/>
      <c r="C23" s="120"/>
      <c r="D23" s="120"/>
      <c r="E23" s="120"/>
      <c r="F23" s="3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120"/>
      <c r="U23" s="120"/>
      <c r="V23" s="120"/>
      <c r="W23" s="120"/>
      <c r="X23" s="120"/>
      <c r="Y23" s="2"/>
      <c r="Z23" s="2"/>
      <c r="AA23" s="2"/>
      <c r="AB23" s="2"/>
      <c r="AC23" s="2"/>
      <c r="AD23" s="2"/>
      <c r="AE23" s="2"/>
      <c r="AF23" s="2"/>
      <c r="AG23" s="2"/>
      <c r="AH23" s="116"/>
      <c r="AI23" s="116"/>
      <c r="AJ23" s="116"/>
      <c r="AK23" s="116"/>
      <c r="AL23" s="116"/>
      <c r="AM23" s="116"/>
    </row>
    <row r="24" spans="1:39" ht="12.75">
      <c r="A24" s="120"/>
      <c r="B24" s="120"/>
      <c r="C24" s="120"/>
      <c r="D24" s="120"/>
      <c r="E24" s="120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120" t="s">
        <v>16</v>
      </c>
      <c r="U24" s="120"/>
      <c r="V24" s="120"/>
      <c r="W24" s="120"/>
      <c r="X24" s="120"/>
      <c r="Y24" s="2"/>
      <c r="Z24" s="2"/>
      <c r="AA24" s="2"/>
      <c r="AB24" s="2"/>
      <c r="AC24" s="2"/>
      <c r="AD24" s="2"/>
      <c r="AE24" s="2"/>
      <c r="AF24" s="2"/>
      <c r="AG24" s="2"/>
      <c r="AH24" s="116"/>
      <c r="AI24" s="116"/>
      <c r="AJ24" s="116"/>
      <c r="AK24" s="116"/>
      <c r="AL24" s="116"/>
      <c r="AM24" s="116"/>
    </row>
    <row r="25" spans="1:39" ht="12.75" customHeight="1">
      <c r="A25" s="120"/>
      <c r="B25" s="120"/>
      <c r="C25" s="120"/>
      <c r="D25" s="120"/>
      <c r="E25" s="120"/>
      <c r="F25" s="3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120"/>
      <c r="U25" s="120"/>
      <c r="V25" s="120"/>
      <c r="W25" s="120"/>
      <c r="X25" s="120"/>
      <c r="Y25" s="2"/>
      <c r="Z25" s="2"/>
      <c r="AA25" s="2"/>
      <c r="AB25" s="2"/>
      <c r="AC25" s="2"/>
      <c r="AD25" s="2"/>
      <c r="AE25" s="2"/>
      <c r="AF25" s="2"/>
      <c r="AG25" s="2"/>
      <c r="AH25" s="116"/>
      <c r="AI25" s="116"/>
      <c r="AJ25" s="116"/>
      <c r="AK25" s="116"/>
      <c r="AL25" s="116"/>
      <c r="AM25" s="116"/>
    </row>
    <row r="26" spans="1:39" ht="12.75" customHeight="1">
      <c r="A26" s="120"/>
      <c r="B26" s="120"/>
      <c r="C26" s="120"/>
      <c r="D26" s="120"/>
      <c r="E26" s="120"/>
      <c r="F26" s="3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119"/>
      <c r="U26" s="119"/>
      <c r="V26" s="119"/>
      <c r="W26" s="119"/>
      <c r="X26" s="119"/>
      <c r="Y26" s="2"/>
      <c r="Z26" s="2"/>
      <c r="AA26" s="2"/>
      <c r="AB26" s="2"/>
      <c r="AC26" s="2"/>
      <c r="AD26" s="2"/>
      <c r="AE26" s="2"/>
      <c r="AF26" s="2"/>
      <c r="AG26" s="2"/>
      <c r="AH26" s="116"/>
      <c r="AI26" s="116"/>
      <c r="AJ26" s="116"/>
      <c r="AK26" s="116"/>
      <c r="AL26" s="116"/>
      <c r="AM26" s="116"/>
    </row>
    <row r="27" spans="1:39" ht="12.75">
      <c r="A27" s="120"/>
      <c r="B27" s="120"/>
      <c r="C27" s="120"/>
      <c r="D27" s="120"/>
      <c r="E27" s="120"/>
      <c r="F27" s="3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119"/>
      <c r="U27" s="119"/>
      <c r="V27" s="119"/>
      <c r="W27" s="119"/>
      <c r="X27" s="119"/>
      <c r="Y27" s="2"/>
      <c r="Z27" s="2"/>
      <c r="AA27" s="2"/>
      <c r="AB27" s="2"/>
      <c r="AC27" s="2"/>
      <c r="AD27" s="2"/>
      <c r="AE27" s="2"/>
      <c r="AF27" s="2"/>
      <c r="AG27" s="2"/>
      <c r="AH27" s="116"/>
      <c r="AI27" s="116"/>
      <c r="AJ27" s="116"/>
      <c r="AK27" s="116"/>
      <c r="AL27" s="116"/>
      <c r="AM27" s="116"/>
    </row>
    <row r="28" spans="1:39" ht="12.75">
      <c r="A28" s="120"/>
      <c r="B28" s="120"/>
      <c r="C28" s="120"/>
      <c r="D28" s="120"/>
      <c r="E28" s="120"/>
      <c r="F28" s="3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119"/>
      <c r="U28" s="119"/>
      <c r="V28" s="119"/>
      <c r="W28" s="119"/>
      <c r="X28" s="119"/>
      <c r="Y28" s="2"/>
      <c r="Z28" s="2"/>
      <c r="AA28" s="2"/>
      <c r="AB28" s="2"/>
      <c r="AC28" s="2"/>
      <c r="AD28" s="2"/>
      <c r="AE28" s="2"/>
      <c r="AF28" s="2"/>
      <c r="AG28" s="2"/>
      <c r="AH28" s="116"/>
      <c r="AI28" s="116"/>
      <c r="AJ28" s="116"/>
      <c r="AK28" s="116"/>
      <c r="AL28" s="116"/>
      <c r="AM28" s="116"/>
    </row>
    <row r="29" spans="1:39" ht="12.75">
      <c r="A29" s="120"/>
      <c r="B29" s="120"/>
      <c r="C29" s="120"/>
      <c r="D29" s="120"/>
      <c r="E29" s="120"/>
      <c r="F29" s="3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119"/>
      <c r="U29" s="119"/>
      <c r="V29" s="119"/>
      <c r="W29" s="119"/>
      <c r="X29" s="119"/>
      <c r="Y29" s="2"/>
      <c r="Z29" s="2"/>
      <c r="AA29" s="2"/>
      <c r="AB29" s="2"/>
      <c r="AC29" s="2"/>
      <c r="AD29" s="2"/>
      <c r="AE29" s="2"/>
      <c r="AF29" s="2"/>
      <c r="AG29" s="2"/>
      <c r="AH29" s="116"/>
      <c r="AI29" s="116"/>
      <c r="AJ29" s="116"/>
      <c r="AK29" s="116"/>
      <c r="AL29" s="116"/>
      <c r="AM29" s="116"/>
    </row>
    <row r="30" spans="1:39" ht="12.75">
      <c r="A30" s="120"/>
      <c r="B30" s="120"/>
      <c r="C30" s="120"/>
      <c r="D30" s="120"/>
      <c r="E30" s="120"/>
      <c r="F30" s="3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119"/>
      <c r="U30" s="119"/>
      <c r="V30" s="119"/>
      <c r="W30" s="119"/>
      <c r="X30" s="119"/>
      <c r="Y30" s="2"/>
      <c r="Z30" s="2"/>
      <c r="AA30" s="2"/>
      <c r="AB30" s="2"/>
      <c r="AC30" s="2"/>
      <c r="AD30" s="2"/>
      <c r="AE30" s="2"/>
      <c r="AF30" s="2"/>
      <c r="AG30" s="2"/>
      <c r="AH30" s="116"/>
      <c r="AI30" s="116"/>
      <c r="AJ30" s="116"/>
      <c r="AK30" s="116"/>
      <c r="AL30" s="116"/>
      <c r="AM30" s="116"/>
    </row>
    <row r="31" spans="1:39" ht="12.75">
      <c r="A31" s="120"/>
      <c r="B31" s="120"/>
      <c r="C31" s="120"/>
      <c r="D31" s="120"/>
      <c r="E31" s="120"/>
      <c r="F31" s="3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119"/>
      <c r="U31" s="119"/>
      <c r="V31" s="119"/>
      <c r="W31" s="119"/>
      <c r="X31" s="119"/>
      <c r="Y31" s="2"/>
      <c r="Z31" s="2"/>
      <c r="AA31" s="2"/>
      <c r="AB31" s="2"/>
      <c r="AC31" s="2"/>
      <c r="AD31" s="2"/>
      <c r="AE31" s="2"/>
      <c r="AF31" s="2"/>
      <c r="AG31" s="2"/>
      <c r="AH31" s="116"/>
      <c r="AI31" s="116"/>
      <c r="AJ31" s="116"/>
      <c r="AK31" s="116"/>
      <c r="AL31" s="116"/>
      <c r="AM31" s="116"/>
    </row>
    <row r="32" spans="1:39" ht="12.75">
      <c r="A32" s="120"/>
      <c r="B32" s="120"/>
      <c r="C32" s="120"/>
      <c r="D32" s="120"/>
      <c r="E32" s="120"/>
      <c r="F32" s="3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119"/>
      <c r="U32" s="119"/>
      <c r="V32" s="119"/>
      <c r="W32" s="119"/>
      <c r="X32" s="119"/>
      <c r="Y32" s="2"/>
      <c r="Z32" s="2"/>
      <c r="AA32" s="2"/>
      <c r="AB32" s="2"/>
      <c r="AC32" s="2"/>
      <c r="AD32" s="2"/>
      <c r="AE32" s="2"/>
      <c r="AF32" s="2"/>
      <c r="AG32" s="2"/>
      <c r="AH32" s="116"/>
      <c r="AI32" s="116"/>
      <c r="AJ32" s="116"/>
      <c r="AK32" s="116"/>
      <c r="AL32" s="116"/>
      <c r="AM32" s="116"/>
    </row>
    <row r="33" spans="1:39" ht="12.75">
      <c r="A33" s="120"/>
      <c r="B33" s="120"/>
      <c r="C33" s="120"/>
      <c r="D33" s="120"/>
      <c r="E33" s="120"/>
      <c r="F33" s="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119"/>
      <c r="U33" s="119"/>
      <c r="V33" s="119"/>
      <c r="W33" s="119"/>
      <c r="X33" s="119"/>
      <c r="Y33" s="2"/>
      <c r="Z33" s="2"/>
      <c r="AA33" s="2"/>
      <c r="AB33" s="2"/>
      <c r="AC33" s="2"/>
      <c r="AD33" s="2"/>
      <c r="AE33" s="2"/>
      <c r="AF33" s="2"/>
      <c r="AG33" s="2"/>
      <c r="AH33" s="116"/>
      <c r="AI33" s="116"/>
      <c r="AJ33" s="116"/>
      <c r="AK33" s="116"/>
      <c r="AL33" s="116"/>
      <c r="AM33" s="116"/>
    </row>
    <row r="34" spans="1:39" ht="12.75">
      <c r="A34" s="120"/>
      <c r="B34" s="120"/>
      <c r="C34" s="120"/>
      <c r="D34" s="120"/>
      <c r="E34" s="120"/>
      <c r="F34" s="3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119"/>
      <c r="U34" s="119"/>
      <c r="V34" s="119"/>
      <c r="W34" s="119"/>
      <c r="X34" s="119"/>
      <c r="Y34" s="2"/>
      <c r="Z34" s="2"/>
      <c r="AA34" s="2"/>
      <c r="AB34" s="2"/>
      <c r="AC34" s="2"/>
      <c r="AD34" s="2"/>
      <c r="AE34" s="2"/>
      <c r="AF34" s="2"/>
      <c r="AG34" s="2"/>
      <c r="AH34" s="116"/>
      <c r="AI34" s="116"/>
      <c r="AJ34" s="116"/>
      <c r="AK34" s="116"/>
      <c r="AL34" s="116"/>
      <c r="AM34" s="116"/>
    </row>
    <row r="35" spans="1:39" ht="12.75">
      <c r="A35" s="120"/>
      <c r="B35" s="120"/>
      <c r="C35" s="120"/>
      <c r="D35" s="120"/>
      <c r="E35" s="120"/>
      <c r="F35" s="3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119"/>
      <c r="U35" s="119"/>
      <c r="V35" s="119"/>
      <c r="W35" s="119"/>
      <c r="X35" s="119"/>
      <c r="Y35" s="2"/>
      <c r="Z35" s="2"/>
      <c r="AA35" s="2"/>
      <c r="AB35" s="2"/>
      <c r="AC35" s="2"/>
      <c r="AD35" s="2"/>
      <c r="AE35" s="2"/>
      <c r="AF35" s="2"/>
      <c r="AG35" s="2"/>
      <c r="AH35" s="116"/>
      <c r="AI35" s="116"/>
      <c r="AJ35" s="116"/>
      <c r="AK35" s="116"/>
      <c r="AL35" s="116"/>
      <c r="AM35" s="116"/>
    </row>
    <row r="36" spans="1:39" ht="12.75">
      <c r="A36" s="120"/>
      <c r="B36" s="120"/>
      <c r="C36" s="120"/>
      <c r="D36" s="120"/>
      <c r="E36" s="120"/>
      <c r="F36" s="3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119"/>
      <c r="U36" s="119"/>
      <c r="V36" s="119"/>
      <c r="W36" s="119"/>
      <c r="X36" s="119"/>
      <c r="Y36" s="2"/>
      <c r="Z36" s="2"/>
      <c r="AA36" s="2"/>
      <c r="AB36" s="2"/>
      <c r="AC36" s="2"/>
      <c r="AD36" s="2"/>
      <c r="AE36" s="2"/>
      <c r="AF36" s="2"/>
      <c r="AG36" s="2"/>
      <c r="AH36" s="116"/>
      <c r="AI36" s="116"/>
      <c r="AJ36" s="116"/>
      <c r="AK36" s="116"/>
      <c r="AL36" s="116"/>
      <c r="AM36" s="116"/>
    </row>
    <row r="37" spans="1:39" ht="12.75">
      <c r="A37" s="120"/>
      <c r="B37" s="120"/>
      <c r="C37" s="120"/>
      <c r="D37" s="120"/>
      <c r="E37" s="120"/>
      <c r="F37" s="3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119"/>
      <c r="U37" s="119"/>
      <c r="V37" s="119"/>
      <c r="W37" s="119"/>
      <c r="X37" s="119"/>
      <c r="Y37" s="2"/>
      <c r="Z37" s="2"/>
      <c r="AA37" s="2"/>
      <c r="AB37" s="2"/>
      <c r="AC37" s="2"/>
      <c r="AD37" s="2"/>
      <c r="AE37" s="2"/>
      <c r="AF37" s="2"/>
      <c r="AG37" s="2"/>
      <c r="AH37" s="116"/>
      <c r="AI37" s="116"/>
      <c r="AJ37" s="116"/>
      <c r="AK37" s="116"/>
      <c r="AL37" s="116"/>
      <c r="AM37" s="116"/>
    </row>
    <row r="38" spans="1:39" ht="12.75">
      <c r="A38" s="120"/>
      <c r="B38" s="120"/>
      <c r="C38" s="120"/>
      <c r="D38" s="120"/>
      <c r="E38" s="120"/>
      <c r="T38" s="119"/>
      <c r="U38" s="119"/>
      <c r="V38" s="119"/>
      <c r="W38" s="119"/>
      <c r="X38" s="119"/>
      <c r="AH38" s="116"/>
      <c r="AI38" s="116"/>
      <c r="AJ38" s="116"/>
      <c r="AK38" s="116"/>
      <c r="AL38" s="116"/>
      <c r="AM38" s="116"/>
    </row>
    <row r="39" spans="1:24" ht="12.75">
      <c r="A39" s="120"/>
      <c r="B39" s="120"/>
      <c r="C39" s="120"/>
      <c r="D39" s="120"/>
      <c r="E39" s="120"/>
      <c r="T39" s="119"/>
      <c r="U39" s="119"/>
      <c r="V39" s="119"/>
      <c r="W39" s="119"/>
      <c r="X39" s="119"/>
    </row>
    <row r="40" spans="1:24" ht="12.75">
      <c r="A40" s="120"/>
      <c r="B40" s="120"/>
      <c r="C40" s="120"/>
      <c r="D40" s="120"/>
      <c r="E40" s="120"/>
      <c r="T40" s="119"/>
      <c r="U40" s="119"/>
      <c r="V40" s="119"/>
      <c r="W40" s="119"/>
      <c r="X40" s="119"/>
    </row>
    <row r="41" spans="1:24" ht="12.75">
      <c r="A41" s="120"/>
      <c r="B41" s="120"/>
      <c r="C41" s="120"/>
      <c r="D41" s="120"/>
      <c r="E41" s="120"/>
      <c r="T41" s="119"/>
      <c r="U41" s="119"/>
      <c r="V41" s="119"/>
      <c r="W41" s="119"/>
      <c r="X41" s="119"/>
    </row>
    <row r="42" spans="1:24" ht="12.75">
      <c r="A42" s="120"/>
      <c r="B42" s="120"/>
      <c r="C42" s="120"/>
      <c r="D42" s="120"/>
      <c r="E42" s="120"/>
      <c r="T42" s="119"/>
      <c r="U42" s="119"/>
      <c r="V42" s="119"/>
      <c r="W42" s="119"/>
      <c r="X42" s="119"/>
    </row>
    <row r="43" spans="1:24" ht="12.75">
      <c r="A43" s="120"/>
      <c r="B43" s="120"/>
      <c r="C43" s="120"/>
      <c r="D43" s="120"/>
      <c r="E43" s="120"/>
      <c r="T43" s="119"/>
      <c r="U43" s="119"/>
      <c r="V43" s="119"/>
      <c r="W43" s="119"/>
      <c r="X43" s="119"/>
    </row>
    <row r="44" spans="1:24" ht="12.75">
      <c r="A44" s="120"/>
      <c r="B44" s="120"/>
      <c r="C44" s="120"/>
      <c r="D44" s="120"/>
      <c r="E44" s="120"/>
      <c r="T44" s="119"/>
      <c r="U44" s="119"/>
      <c r="V44" s="119"/>
      <c r="W44" s="119"/>
      <c r="X44" s="119"/>
    </row>
    <row r="45" spans="1:24" ht="12.75">
      <c r="A45" s="120"/>
      <c r="B45" s="120"/>
      <c r="C45" s="120"/>
      <c r="D45" s="120"/>
      <c r="E45" s="120"/>
      <c r="T45" s="119"/>
      <c r="U45" s="119"/>
      <c r="V45" s="119"/>
      <c r="W45" s="119"/>
      <c r="X45" s="119"/>
    </row>
    <row r="46" spans="1:24" ht="12.75">
      <c r="A46" s="120"/>
      <c r="B46" s="120"/>
      <c r="C46" s="120"/>
      <c r="D46" s="120"/>
      <c r="E46" s="120"/>
      <c r="T46" s="119"/>
      <c r="U46" s="119"/>
      <c r="V46" s="119"/>
      <c r="W46" s="119"/>
      <c r="X46" s="119"/>
    </row>
    <row r="47" spans="1:24" ht="12.75">
      <c r="A47" s="120"/>
      <c r="B47" s="120"/>
      <c r="C47" s="120"/>
      <c r="D47" s="120"/>
      <c r="E47" s="120"/>
      <c r="T47" s="119"/>
      <c r="U47" s="119"/>
      <c r="V47" s="119"/>
      <c r="W47" s="119"/>
      <c r="X47" s="119"/>
    </row>
    <row r="48" spans="1:24" ht="12.75">
      <c r="A48" s="120"/>
      <c r="B48" s="120"/>
      <c r="C48" s="120"/>
      <c r="D48" s="120"/>
      <c r="E48" s="120"/>
      <c r="T48" s="119"/>
      <c r="U48" s="119"/>
      <c r="V48" s="119"/>
      <c r="W48" s="119"/>
      <c r="X48" s="119"/>
    </row>
    <row r="49" spans="1:24" ht="12.75">
      <c r="A49" s="120"/>
      <c r="B49" s="120"/>
      <c r="C49" s="120"/>
      <c r="D49" s="120"/>
      <c r="E49" s="120"/>
      <c r="T49" s="119"/>
      <c r="U49" s="119"/>
      <c r="V49" s="119"/>
      <c r="W49" s="119"/>
      <c r="X49" s="119"/>
    </row>
    <row r="50" spans="1:24" ht="12.75">
      <c r="A50" s="120"/>
      <c r="B50" s="120"/>
      <c r="C50" s="120"/>
      <c r="D50" s="120"/>
      <c r="E50" s="120"/>
      <c r="T50" s="119"/>
      <c r="U50" s="119"/>
      <c r="V50" s="119"/>
      <c r="W50" s="119"/>
      <c r="X50" s="119"/>
    </row>
    <row r="51" spans="1:24" ht="12.75">
      <c r="A51" s="120"/>
      <c r="B51" s="120"/>
      <c r="C51" s="120"/>
      <c r="D51" s="120"/>
      <c r="E51" s="120"/>
      <c r="T51" s="119"/>
      <c r="U51" s="119"/>
      <c r="V51" s="119"/>
      <c r="W51" s="119"/>
      <c r="X51" s="119"/>
    </row>
    <row r="52" spans="1:24" ht="12.75">
      <c r="A52" s="120"/>
      <c r="B52" s="120"/>
      <c r="C52" s="120"/>
      <c r="D52" s="120"/>
      <c r="E52" s="120"/>
      <c r="T52" s="119"/>
      <c r="U52" s="119"/>
      <c r="V52" s="119"/>
      <c r="W52" s="119"/>
      <c r="X52" s="119"/>
    </row>
    <row r="53" spans="1:24" ht="12.75">
      <c r="A53" s="120"/>
      <c r="B53" s="120"/>
      <c r="C53" s="120"/>
      <c r="D53" s="120"/>
      <c r="E53" s="120"/>
      <c r="T53" s="119"/>
      <c r="U53" s="119"/>
      <c r="V53" s="119"/>
      <c r="W53" s="119"/>
      <c r="X53" s="119"/>
    </row>
    <row r="54" spans="1:24" ht="12.75">
      <c r="A54" s="120"/>
      <c r="B54" s="120"/>
      <c r="C54" s="120"/>
      <c r="D54" s="120"/>
      <c r="E54" s="120"/>
      <c r="T54" s="119"/>
      <c r="U54" s="119"/>
      <c r="V54" s="119"/>
      <c r="W54" s="119"/>
      <c r="X54" s="119"/>
    </row>
    <row r="55" spans="1:24" ht="12.75">
      <c r="A55" s="120"/>
      <c r="B55" s="120"/>
      <c r="C55" s="120"/>
      <c r="D55" s="120"/>
      <c r="E55" s="120"/>
      <c r="T55" s="119"/>
      <c r="U55" s="119"/>
      <c r="V55" s="119"/>
      <c r="W55" s="119"/>
      <c r="X55" s="119"/>
    </row>
    <row r="56" spans="1:24" ht="12.75">
      <c r="A56" s="120"/>
      <c r="B56" s="120"/>
      <c r="C56" s="120"/>
      <c r="D56" s="120"/>
      <c r="E56" s="120"/>
      <c r="T56" s="119"/>
      <c r="U56" s="119"/>
      <c r="V56" s="119"/>
      <c r="W56" s="119"/>
      <c r="X56" s="119"/>
    </row>
    <row r="57" spans="1:24" ht="12.75">
      <c r="A57" s="120"/>
      <c r="B57" s="120"/>
      <c r="C57" s="120"/>
      <c r="D57" s="120"/>
      <c r="E57" s="120"/>
      <c r="T57" s="119"/>
      <c r="U57" s="119"/>
      <c r="V57" s="119"/>
      <c r="W57" s="119"/>
      <c r="X57" s="119"/>
    </row>
    <row r="58" spans="1:24" ht="12.75">
      <c r="A58" s="120"/>
      <c r="B58" s="120"/>
      <c r="C58" s="120"/>
      <c r="D58" s="120"/>
      <c r="E58" s="120"/>
      <c r="T58" s="119"/>
      <c r="U58" s="119"/>
      <c r="V58" s="119"/>
      <c r="W58" s="119"/>
      <c r="X58" s="119"/>
    </row>
    <row r="59" spans="1:24" ht="12.75">
      <c r="A59" s="120"/>
      <c r="B59" s="120"/>
      <c r="C59" s="120"/>
      <c r="D59" s="120"/>
      <c r="E59" s="120"/>
      <c r="T59" s="119"/>
      <c r="U59" s="119"/>
      <c r="V59" s="119"/>
      <c r="W59" s="119"/>
      <c r="X59" s="119"/>
    </row>
    <row r="60" spans="1:24" ht="12.75">
      <c r="A60" s="120"/>
      <c r="B60" s="120"/>
      <c r="C60" s="120"/>
      <c r="D60" s="120"/>
      <c r="E60" s="120"/>
      <c r="T60" s="119"/>
      <c r="U60" s="119"/>
      <c r="V60" s="119"/>
      <c r="W60" s="119"/>
      <c r="X60" s="119"/>
    </row>
    <row r="61" spans="1:24" ht="12.75">
      <c r="A61" s="120"/>
      <c r="B61" s="120"/>
      <c r="C61" s="120"/>
      <c r="D61" s="120"/>
      <c r="E61" s="120"/>
      <c r="T61" s="119"/>
      <c r="U61" s="119"/>
      <c r="V61" s="119"/>
      <c r="W61" s="119"/>
      <c r="X61" s="119"/>
    </row>
    <row r="62" spans="1:24" ht="12.75">
      <c r="A62" s="119"/>
      <c r="B62" s="119"/>
      <c r="C62" s="119"/>
      <c r="D62" s="119"/>
      <c r="E62" s="119"/>
      <c r="T62" s="119"/>
      <c r="U62" s="119"/>
      <c r="V62" s="119"/>
      <c r="W62" s="119"/>
      <c r="X62" s="119"/>
    </row>
    <row r="63" spans="1:24" ht="12.75">
      <c r="A63" s="119"/>
      <c r="B63" s="119"/>
      <c r="C63" s="119"/>
      <c r="D63" s="119"/>
      <c r="E63" s="119"/>
      <c r="T63" s="119"/>
      <c r="U63" s="119"/>
      <c r="V63" s="119"/>
      <c r="W63" s="119"/>
      <c r="X63" s="119"/>
    </row>
    <row r="64" spans="1:24" ht="12.75">
      <c r="A64" s="119"/>
      <c r="B64" s="119"/>
      <c r="C64" s="119"/>
      <c r="D64" s="119"/>
      <c r="E64" s="119"/>
      <c r="T64" s="119"/>
      <c r="U64" s="119"/>
      <c r="V64" s="119"/>
      <c r="W64" s="119"/>
      <c r="X64" s="119"/>
    </row>
    <row r="65" spans="1:24" ht="12.75">
      <c r="A65" s="119"/>
      <c r="B65" s="119"/>
      <c r="C65" s="119"/>
      <c r="D65" s="119"/>
      <c r="E65" s="119"/>
      <c r="T65" s="119"/>
      <c r="U65" s="119"/>
      <c r="V65" s="119"/>
      <c r="W65" s="119"/>
      <c r="X65" s="119"/>
    </row>
    <row r="66" spans="1:24" ht="12.75">
      <c r="A66" s="119"/>
      <c r="B66" s="119"/>
      <c r="C66" s="119"/>
      <c r="D66" s="119"/>
      <c r="E66" s="119"/>
      <c r="T66" s="119"/>
      <c r="U66" s="119"/>
      <c r="V66" s="119"/>
      <c r="W66" s="119"/>
      <c r="X66" s="119"/>
    </row>
    <row r="67" spans="1:24" ht="12.75">
      <c r="A67" s="119"/>
      <c r="B67" s="119"/>
      <c r="C67" s="119"/>
      <c r="D67" s="119"/>
      <c r="E67" s="119"/>
      <c r="T67" s="119"/>
      <c r="U67" s="119"/>
      <c r="V67" s="119"/>
      <c r="W67" s="119"/>
      <c r="X67" s="119"/>
    </row>
    <row r="68" spans="1:24" ht="12.75">
      <c r="A68" s="119"/>
      <c r="B68" s="119"/>
      <c r="C68" s="119"/>
      <c r="D68" s="119"/>
      <c r="E68" s="119"/>
      <c r="T68" s="119"/>
      <c r="U68" s="119"/>
      <c r="V68" s="119"/>
      <c r="W68" s="119"/>
      <c r="X68" s="119"/>
    </row>
    <row r="69" spans="1:24" ht="12.75">
      <c r="A69" s="119"/>
      <c r="B69" s="119"/>
      <c r="C69" s="119"/>
      <c r="D69" s="119"/>
      <c r="E69" s="119"/>
      <c r="T69" s="119"/>
      <c r="U69" s="119"/>
      <c r="V69" s="119"/>
      <c r="W69" s="119"/>
      <c r="X69" s="119"/>
    </row>
    <row r="70" spans="1:24" ht="12.75">
      <c r="A70" s="119"/>
      <c r="B70" s="119"/>
      <c r="C70" s="119"/>
      <c r="D70" s="119"/>
      <c r="E70" s="119"/>
      <c r="T70" s="119"/>
      <c r="U70" s="119"/>
      <c r="V70" s="119"/>
      <c r="W70" s="119"/>
      <c r="X70" s="119"/>
    </row>
    <row r="71" spans="1:24" ht="12.75">
      <c r="A71" s="119"/>
      <c r="B71" s="119"/>
      <c r="C71" s="119"/>
      <c r="D71" s="119"/>
      <c r="E71" s="119"/>
      <c r="T71" s="119"/>
      <c r="U71" s="119"/>
      <c r="V71" s="119"/>
      <c r="W71" s="119"/>
      <c r="X71" s="119"/>
    </row>
    <row r="72" spans="1:24" ht="12.75">
      <c r="A72" s="119"/>
      <c r="B72" s="119"/>
      <c r="C72" s="119"/>
      <c r="D72" s="119"/>
      <c r="E72" s="119"/>
      <c r="T72" s="119"/>
      <c r="U72" s="119"/>
      <c r="V72" s="119"/>
      <c r="W72" s="119"/>
      <c r="X72" s="119"/>
    </row>
    <row r="73" spans="1:24" ht="12.75">
      <c r="A73" s="119"/>
      <c r="B73" s="119"/>
      <c r="C73" s="119"/>
      <c r="D73" s="119"/>
      <c r="E73" s="119"/>
      <c r="T73" s="119"/>
      <c r="U73" s="119"/>
      <c r="V73" s="119"/>
      <c r="W73" s="119"/>
      <c r="X73" s="119"/>
    </row>
    <row r="74" spans="1:24" ht="12.75">
      <c r="A74" s="119"/>
      <c r="B74" s="119"/>
      <c r="C74" s="119"/>
      <c r="D74" s="119"/>
      <c r="E74" s="119"/>
      <c r="T74" s="119"/>
      <c r="U74" s="119"/>
      <c r="V74" s="119"/>
      <c r="W74" s="119"/>
      <c r="X74" s="119"/>
    </row>
    <row r="75" spans="1:24" ht="12.75">
      <c r="A75" s="119"/>
      <c r="B75" s="119"/>
      <c r="C75" s="119"/>
      <c r="D75" s="119"/>
      <c r="E75" s="119"/>
      <c r="T75" s="119"/>
      <c r="U75" s="119"/>
      <c r="V75" s="119"/>
      <c r="W75" s="119"/>
      <c r="X75" s="119"/>
    </row>
    <row r="76" spans="1:24" ht="12.75">
      <c r="A76" s="119"/>
      <c r="B76" s="119"/>
      <c r="C76" s="119"/>
      <c r="D76" s="119"/>
      <c r="E76" s="119"/>
      <c r="T76" s="119"/>
      <c r="U76" s="119"/>
      <c r="V76" s="119"/>
      <c r="W76" s="119"/>
      <c r="X76" s="119"/>
    </row>
    <row r="77" spans="1:24" ht="12.75">
      <c r="A77" s="119"/>
      <c r="B77" s="119"/>
      <c r="C77" s="119"/>
      <c r="D77" s="119"/>
      <c r="E77" s="119"/>
      <c r="T77" s="119"/>
      <c r="U77" s="119"/>
      <c r="V77" s="119"/>
      <c r="W77" s="119"/>
      <c r="X77" s="119"/>
    </row>
    <row r="78" spans="1:24" ht="12.75">
      <c r="A78" s="119"/>
      <c r="B78" s="119"/>
      <c r="C78" s="119"/>
      <c r="D78" s="119"/>
      <c r="E78" s="119"/>
      <c r="T78" s="119"/>
      <c r="U78" s="119"/>
      <c r="V78" s="119"/>
      <c r="W78" s="119"/>
      <c r="X78" s="119"/>
    </row>
    <row r="79" spans="1:24" ht="12.75">
      <c r="A79" s="119"/>
      <c r="B79" s="119"/>
      <c r="C79" s="119"/>
      <c r="D79" s="119"/>
      <c r="E79" s="119"/>
      <c r="T79" s="119"/>
      <c r="U79" s="119"/>
      <c r="V79" s="119"/>
      <c r="W79" s="119"/>
      <c r="X79" s="119"/>
    </row>
    <row r="80" spans="1:24" ht="12.75">
      <c r="A80" s="119"/>
      <c r="B80" s="119"/>
      <c r="C80" s="119"/>
      <c r="D80" s="119"/>
      <c r="E80" s="119"/>
      <c r="T80" s="119"/>
      <c r="U80" s="119"/>
      <c r="V80" s="119"/>
      <c r="W80" s="119"/>
      <c r="X80" s="119"/>
    </row>
    <row r="81" spans="1:24" ht="12.75">
      <c r="A81" s="119"/>
      <c r="B81" s="119"/>
      <c r="C81" s="119"/>
      <c r="D81" s="119"/>
      <c r="E81" s="119"/>
      <c r="T81" s="119"/>
      <c r="U81" s="119"/>
      <c r="V81" s="119"/>
      <c r="W81" s="119"/>
      <c r="X81" s="119"/>
    </row>
    <row r="82" spans="1:24" ht="12.75">
      <c r="A82" s="119"/>
      <c r="B82" s="119"/>
      <c r="C82" s="119"/>
      <c r="D82" s="119"/>
      <c r="E82" s="119"/>
      <c r="T82" s="116"/>
      <c r="U82" s="116"/>
      <c r="V82" s="116"/>
      <c r="W82" s="116"/>
      <c r="X82" s="116"/>
    </row>
    <row r="83" spans="1:24" ht="12.75">
      <c r="A83" s="119"/>
      <c r="B83" s="119"/>
      <c r="C83" s="119"/>
      <c r="D83" s="119"/>
      <c r="E83" s="119"/>
      <c r="T83" s="116"/>
      <c r="U83" s="116"/>
      <c r="V83" s="116"/>
      <c r="W83" s="116"/>
      <c r="X83" s="116"/>
    </row>
    <row r="84" spans="1:24" ht="12.75">
      <c r="A84" s="119"/>
      <c r="B84" s="119"/>
      <c r="C84" s="119"/>
      <c r="D84" s="119"/>
      <c r="E84" s="119"/>
      <c r="T84" s="119"/>
      <c r="U84" s="119"/>
      <c r="V84" s="119"/>
      <c r="W84" s="119"/>
      <c r="X84" s="119"/>
    </row>
    <row r="85" spans="1:24" ht="12.75">
      <c r="A85" s="119"/>
      <c r="B85" s="119"/>
      <c r="C85" s="119"/>
      <c r="D85" s="119"/>
      <c r="E85" s="119"/>
      <c r="T85" s="119"/>
      <c r="U85" s="119"/>
      <c r="V85" s="119"/>
      <c r="W85" s="119"/>
      <c r="X85" s="119"/>
    </row>
    <row r="86" spans="1:24" ht="12.75">
      <c r="A86" s="119"/>
      <c r="B86" s="119"/>
      <c r="C86" s="119"/>
      <c r="D86" s="119"/>
      <c r="E86" s="119"/>
      <c r="T86" s="119"/>
      <c r="U86" s="119"/>
      <c r="V86" s="119"/>
      <c r="W86" s="119"/>
      <c r="X86" s="119"/>
    </row>
    <row r="87" spans="1:24" ht="12.75">
      <c r="A87" s="119"/>
      <c r="B87" s="119"/>
      <c r="C87" s="119"/>
      <c r="D87" s="119"/>
      <c r="E87" s="119"/>
      <c r="T87" s="119"/>
      <c r="U87" s="119"/>
      <c r="V87" s="119"/>
      <c r="W87" s="119"/>
      <c r="X87" s="119"/>
    </row>
    <row r="88" spans="1:24" ht="12.75">
      <c r="A88" s="119"/>
      <c r="B88" s="119"/>
      <c r="C88" s="119"/>
      <c r="D88" s="119"/>
      <c r="E88" s="119"/>
      <c r="T88" s="119"/>
      <c r="U88" s="119"/>
      <c r="V88" s="119"/>
      <c r="W88" s="119"/>
      <c r="X88" s="119"/>
    </row>
    <row r="89" spans="1:24" ht="12.75">
      <c r="A89" s="119"/>
      <c r="B89" s="119"/>
      <c r="C89" s="119"/>
      <c r="D89" s="119"/>
      <c r="E89" s="119"/>
      <c r="T89" s="119"/>
      <c r="U89" s="119"/>
      <c r="V89" s="119"/>
      <c r="W89" s="119"/>
      <c r="X89" s="119"/>
    </row>
    <row r="90" spans="1:24" ht="12.75">
      <c r="A90" s="119"/>
      <c r="B90" s="119"/>
      <c r="C90" s="119"/>
      <c r="D90" s="119"/>
      <c r="E90" s="119"/>
      <c r="T90" s="119"/>
      <c r="U90" s="119"/>
      <c r="V90" s="119"/>
      <c r="W90" s="119"/>
      <c r="X90" s="119"/>
    </row>
    <row r="91" spans="1:24" ht="12.75">
      <c r="A91" s="119"/>
      <c r="B91" s="119"/>
      <c r="C91" s="119"/>
      <c r="D91" s="119"/>
      <c r="E91" s="119"/>
      <c r="T91" s="119"/>
      <c r="U91" s="119"/>
      <c r="V91" s="119"/>
      <c r="W91" s="119"/>
      <c r="X91" s="119"/>
    </row>
    <row r="92" spans="1:24" ht="12.75">
      <c r="A92" s="119"/>
      <c r="B92" s="119"/>
      <c r="C92" s="119"/>
      <c r="D92" s="119"/>
      <c r="E92" s="119"/>
      <c r="T92" s="119"/>
      <c r="U92" s="119"/>
      <c r="V92" s="119"/>
      <c r="W92" s="119"/>
      <c r="X92" s="119"/>
    </row>
    <row r="93" spans="1:24" ht="12.75">
      <c r="A93" s="119"/>
      <c r="B93" s="119"/>
      <c r="C93" s="119"/>
      <c r="D93" s="119"/>
      <c r="E93" s="119"/>
      <c r="T93" s="119"/>
      <c r="U93" s="119"/>
      <c r="V93" s="119"/>
      <c r="W93" s="119"/>
      <c r="X93" s="119"/>
    </row>
    <row r="94" spans="1:24" ht="12.75">
      <c r="A94" s="119"/>
      <c r="B94" s="119"/>
      <c r="C94" s="119"/>
      <c r="D94" s="119"/>
      <c r="E94" s="119"/>
      <c r="T94" s="119"/>
      <c r="U94" s="119"/>
      <c r="V94" s="119"/>
      <c r="W94" s="119"/>
      <c r="X94" s="119"/>
    </row>
    <row r="95" spans="1:24" ht="12.75">
      <c r="A95" s="119"/>
      <c r="B95" s="119"/>
      <c r="C95" s="119"/>
      <c r="D95" s="119"/>
      <c r="E95" s="119"/>
      <c r="T95" s="119"/>
      <c r="U95" s="119"/>
      <c r="V95" s="119"/>
      <c r="W95" s="119"/>
      <c r="X95" s="119"/>
    </row>
    <row r="96" spans="1:24" ht="12.75">
      <c r="A96" s="119"/>
      <c r="B96" s="119"/>
      <c r="C96" s="119"/>
      <c r="D96" s="119"/>
      <c r="E96" s="119"/>
      <c r="T96" s="119"/>
      <c r="U96" s="119"/>
      <c r="V96" s="119"/>
      <c r="W96" s="119"/>
      <c r="X96" s="119"/>
    </row>
    <row r="97" spans="1:24" ht="12.75">
      <c r="A97" s="119"/>
      <c r="B97" s="119"/>
      <c r="C97" s="119"/>
      <c r="D97" s="119"/>
      <c r="E97" s="119"/>
      <c r="T97" s="119"/>
      <c r="U97" s="119"/>
      <c r="V97" s="119"/>
      <c r="W97" s="119"/>
      <c r="X97" s="119"/>
    </row>
    <row r="98" spans="1:24" ht="12.75">
      <c r="A98" s="119"/>
      <c r="B98" s="119"/>
      <c r="C98" s="119"/>
      <c r="D98" s="119"/>
      <c r="E98" s="119"/>
      <c r="T98" s="119"/>
      <c r="U98" s="119"/>
      <c r="V98" s="119"/>
      <c r="W98" s="119"/>
      <c r="X98" s="119"/>
    </row>
    <row r="99" spans="1:24" ht="12.75">
      <c r="A99" s="119"/>
      <c r="B99" s="119"/>
      <c r="C99" s="119"/>
      <c r="D99" s="119"/>
      <c r="E99" s="119"/>
      <c r="T99" s="119"/>
      <c r="U99" s="119"/>
      <c r="V99" s="119"/>
      <c r="W99" s="119"/>
      <c r="X99" s="119"/>
    </row>
    <row r="100" spans="1:24" ht="12.75">
      <c r="A100" s="119"/>
      <c r="B100" s="119"/>
      <c r="C100" s="119"/>
      <c r="D100" s="119"/>
      <c r="E100" s="119"/>
      <c r="T100" s="119"/>
      <c r="U100" s="119"/>
      <c r="V100" s="119"/>
      <c r="W100" s="119"/>
      <c r="X100" s="119"/>
    </row>
    <row r="101" spans="1:24" ht="12.75">
      <c r="A101" s="119"/>
      <c r="B101" s="119"/>
      <c r="C101" s="119"/>
      <c r="D101" s="119"/>
      <c r="E101" s="119"/>
      <c r="T101" s="119"/>
      <c r="U101" s="119"/>
      <c r="V101" s="119"/>
      <c r="W101" s="119"/>
      <c r="X101" s="119"/>
    </row>
    <row r="102" spans="1:24" ht="12.75">
      <c r="A102" s="119"/>
      <c r="B102" s="119"/>
      <c r="C102" s="119"/>
      <c r="D102" s="119"/>
      <c r="E102" s="119"/>
      <c r="T102" s="119"/>
      <c r="U102" s="119"/>
      <c r="V102" s="119"/>
      <c r="W102" s="119"/>
      <c r="X102" s="119"/>
    </row>
    <row r="103" spans="1:24" ht="12.75">
      <c r="A103" s="119"/>
      <c r="B103" s="119"/>
      <c r="C103" s="119"/>
      <c r="D103" s="119"/>
      <c r="E103" s="119"/>
      <c r="T103" s="119"/>
      <c r="U103" s="119"/>
      <c r="V103" s="119"/>
      <c r="W103" s="119"/>
      <c r="X103" s="119"/>
    </row>
    <row r="104" spans="1:24" ht="12.75">
      <c r="A104" s="119"/>
      <c r="B104" s="119"/>
      <c r="C104" s="119"/>
      <c r="D104" s="119"/>
      <c r="E104" s="119"/>
      <c r="T104" s="119"/>
      <c r="U104" s="119"/>
      <c r="V104" s="119"/>
      <c r="W104" s="119"/>
      <c r="X104" s="119"/>
    </row>
    <row r="105" spans="1:24" ht="12.75">
      <c r="A105" s="119"/>
      <c r="B105" s="119"/>
      <c r="C105" s="119"/>
      <c r="D105" s="119"/>
      <c r="E105" s="119"/>
      <c r="T105" s="119"/>
      <c r="U105" s="119"/>
      <c r="V105" s="119"/>
      <c r="W105" s="119"/>
      <c r="X105" s="119"/>
    </row>
    <row r="106" spans="1:5" ht="12.75">
      <c r="A106" s="119"/>
      <c r="B106" s="119"/>
      <c r="C106" s="119"/>
      <c r="D106" s="119"/>
      <c r="E106" s="119"/>
    </row>
    <row r="107" spans="1:5" ht="12.75">
      <c r="A107" s="119"/>
      <c r="B107" s="119"/>
      <c r="C107" s="119"/>
      <c r="D107" s="119"/>
      <c r="E107" s="119"/>
    </row>
    <row r="108" spans="1:5" ht="12.75">
      <c r="A108" s="119"/>
      <c r="B108" s="119"/>
      <c r="C108" s="119"/>
      <c r="D108" s="119"/>
      <c r="E108" s="119"/>
    </row>
    <row r="109" spans="1:5" ht="12.75">
      <c r="A109" s="119"/>
      <c r="B109" s="119"/>
      <c r="C109" s="119"/>
      <c r="D109" s="119"/>
      <c r="E109" s="119"/>
    </row>
    <row r="110" spans="1:5" ht="12.75">
      <c r="A110" s="119"/>
      <c r="B110" s="119"/>
      <c r="C110" s="119"/>
      <c r="D110" s="119"/>
      <c r="E110" s="119"/>
    </row>
    <row r="111" spans="1:5" ht="12.75">
      <c r="A111" s="119"/>
      <c r="B111" s="119"/>
      <c r="C111" s="119"/>
      <c r="D111" s="119"/>
      <c r="E111" s="119"/>
    </row>
    <row r="112" spans="1:5" ht="12.75">
      <c r="A112" s="119"/>
      <c r="B112" s="119"/>
      <c r="C112" s="119"/>
      <c r="D112" s="119"/>
      <c r="E112" s="119"/>
    </row>
    <row r="113" spans="1:5" ht="12.75">
      <c r="A113" s="119"/>
      <c r="B113" s="119"/>
      <c r="C113" s="119"/>
      <c r="D113" s="119"/>
      <c r="E113" s="119"/>
    </row>
    <row r="114" spans="1:5" ht="12.75">
      <c r="A114" s="119"/>
      <c r="B114" s="119"/>
      <c r="C114" s="119"/>
      <c r="D114" s="119"/>
      <c r="E114" s="119"/>
    </row>
    <row r="115" spans="1:5" ht="12.75">
      <c r="A115" s="119"/>
      <c r="B115" s="119"/>
      <c r="C115" s="119"/>
      <c r="D115" s="119"/>
      <c r="E115" s="119"/>
    </row>
    <row r="116" spans="1:5" ht="12.75">
      <c r="A116" s="116"/>
      <c r="B116" s="116"/>
      <c r="C116" s="116"/>
      <c r="D116" s="116"/>
      <c r="E116" s="116"/>
    </row>
    <row r="117" spans="1:5" ht="12.75">
      <c r="A117" s="116"/>
      <c r="B117" s="116"/>
      <c r="C117" s="116"/>
      <c r="D117" s="116"/>
      <c r="E117" s="116"/>
    </row>
    <row r="118" spans="1:5" ht="12.75">
      <c r="A118" s="116"/>
      <c r="B118" s="116"/>
      <c r="C118" s="116"/>
      <c r="D118" s="116"/>
      <c r="E118" s="116"/>
    </row>
    <row r="119" spans="1:5" ht="12.75">
      <c r="A119" s="116"/>
      <c r="B119" s="116"/>
      <c r="C119" s="116"/>
      <c r="D119" s="116"/>
      <c r="E119" s="116"/>
    </row>
    <row r="120" spans="1:5" ht="12.75">
      <c r="A120" s="116"/>
      <c r="B120" s="116"/>
      <c r="C120" s="116"/>
      <c r="D120" s="116"/>
      <c r="E120" s="116"/>
    </row>
    <row r="121" spans="1:5" ht="12.75">
      <c r="A121" s="116"/>
      <c r="B121" s="116"/>
      <c r="C121" s="116"/>
      <c r="D121" s="116"/>
      <c r="E121" s="116"/>
    </row>
    <row r="122" spans="1:5" ht="12.75">
      <c r="A122" s="116"/>
      <c r="B122" s="116"/>
      <c r="C122" s="116"/>
      <c r="D122" s="116"/>
      <c r="E122" s="116"/>
    </row>
    <row r="123" spans="1:5" ht="12.75">
      <c r="A123" s="116"/>
      <c r="B123" s="116"/>
      <c r="C123" s="116"/>
      <c r="D123" s="116"/>
      <c r="E123" s="116"/>
    </row>
    <row r="124" spans="1:5" ht="12.75">
      <c r="A124" s="116"/>
      <c r="B124" s="116"/>
      <c r="C124" s="116"/>
      <c r="D124" s="116"/>
      <c r="E124" s="116"/>
    </row>
    <row r="125" spans="1:5" ht="12.75">
      <c r="A125" s="116"/>
      <c r="B125" s="116"/>
      <c r="C125" s="116"/>
      <c r="D125" s="116"/>
      <c r="E125" s="116"/>
    </row>
    <row r="126" spans="1:5" ht="12.75">
      <c r="A126" s="116"/>
      <c r="B126" s="116"/>
      <c r="C126" s="116"/>
      <c r="D126" s="116"/>
      <c r="E126" s="116"/>
    </row>
    <row r="127" spans="1:5" ht="12.75">
      <c r="A127" s="116"/>
      <c r="B127" s="116"/>
      <c r="C127" s="116"/>
      <c r="D127" s="116"/>
      <c r="E127" s="116"/>
    </row>
    <row r="128" spans="1:5" ht="12.75">
      <c r="A128" s="116"/>
      <c r="B128" s="116"/>
      <c r="C128" s="116"/>
      <c r="D128" s="116"/>
      <c r="E128" s="116"/>
    </row>
    <row r="129" spans="1:5" ht="12.75">
      <c r="A129" s="116"/>
      <c r="B129" s="116"/>
      <c r="C129" s="116"/>
      <c r="D129" s="116"/>
      <c r="E129" s="116"/>
    </row>
    <row r="130" spans="1:5" ht="12.75">
      <c r="A130" s="116"/>
      <c r="B130" s="116"/>
      <c r="C130" s="116"/>
      <c r="D130" s="116"/>
      <c r="E130" s="116"/>
    </row>
    <row r="131" spans="1:5" ht="12.75">
      <c r="A131" s="116"/>
      <c r="B131" s="116"/>
      <c r="C131" s="116"/>
      <c r="D131" s="116"/>
      <c r="E131" s="116"/>
    </row>
    <row r="132" spans="1:5" ht="12.75">
      <c r="A132" s="116"/>
      <c r="B132" s="116"/>
      <c r="C132" s="116"/>
      <c r="D132" s="116"/>
      <c r="E132" s="116"/>
    </row>
    <row r="133" spans="1:5" ht="12.75">
      <c r="A133" s="116"/>
      <c r="B133" s="116"/>
      <c r="C133" s="116"/>
      <c r="D133" s="116"/>
      <c r="E133" s="116"/>
    </row>
    <row r="134" spans="1:5" ht="12.75">
      <c r="A134" s="116"/>
      <c r="B134" s="116"/>
      <c r="C134" s="116"/>
      <c r="D134" s="116"/>
      <c r="E134" s="116"/>
    </row>
    <row r="135" spans="1:5" ht="12.75">
      <c r="A135" s="116"/>
      <c r="B135" s="116"/>
      <c r="C135" s="116"/>
      <c r="D135" s="116"/>
      <c r="E135" s="116"/>
    </row>
    <row r="136" spans="1:5" ht="12.75">
      <c r="A136" s="116"/>
      <c r="B136" s="116"/>
      <c r="C136" s="116"/>
      <c r="D136" s="116"/>
      <c r="E136" s="116"/>
    </row>
    <row r="137" spans="1:5" ht="12.75">
      <c r="A137" s="116"/>
      <c r="B137" s="116"/>
      <c r="C137" s="116"/>
      <c r="D137" s="116"/>
      <c r="E137" s="116"/>
    </row>
    <row r="138" spans="1:5" ht="12.75">
      <c r="A138" s="116"/>
      <c r="B138" s="116"/>
      <c r="C138" s="116"/>
      <c r="D138" s="116"/>
      <c r="E138" s="116"/>
    </row>
    <row r="139" spans="1:5" ht="12.75">
      <c r="A139" s="116"/>
      <c r="B139" s="116"/>
      <c r="C139" s="116"/>
      <c r="D139" s="116"/>
      <c r="E139" s="116"/>
    </row>
    <row r="140" spans="1:5" ht="12.75">
      <c r="A140" s="116"/>
      <c r="B140" s="116"/>
      <c r="C140" s="116"/>
      <c r="D140" s="116"/>
      <c r="E140" s="116"/>
    </row>
    <row r="141" spans="1:5" ht="12.75">
      <c r="A141" s="116"/>
      <c r="B141" s="116"/>
      <c r="C141" s="116"/>
      <c r="D141" s="116"/>
      <c r="E141" s="116"/>
    </row>
    <row r="142" spans="1:5" ht="12.75">
      <c r="A142" s="116"/>
      <c r="B142" s="116"/>
      <c r="C142" s="116"/>
      <c r="D142" s="116"/>
      <c r="E142" s="116"/>
    </row>
    <row r="143" spans="1:5" ht="12.75">
      <c r="A143" s="116"/>
      <c r="B143" s="116"/>
      <c r="C143" s="116"/>
      <c r="D143" s="116"/>
      <c r="E143" s="116"/>
    </row>
    <row r="144" spans="1:5" ht="12.75">
      <c r="A144" s="116"/>
      <c r="B144" s="116"/>
      <c r="C144" s="116"/>
      <c r="D144" s="116"/>
      <c r="E144" s="116"/>
    </row>
    <row r="145" spans="1:5" ht="12.75">
      <c r="A145" s="116"/>
      <c r="B145" s="116"/>
      <c r="C145" s="116"/>
      <c r="D145" s="116"/>
      <c r="E145" s="116"/>
    </row>
    <row r="146" spans="1:5" ht="12.75">
      <c r="A146" s="116"/>
      <c r="B146" s="116"/>
      <c r="C146" s="116"/>
      <c r="D146" s="116"/>
      <c r="E146" s="116"/>
    </row>
    <row r="147" spans="1:5" ht="12.75">
      <c r="A147" s="116"/>
      <c r="B147" s="116"/>
      <c r="C147" s="116"/>
      <c r="D147" s="116"/>
      <c r="E147" s="116"/>
    </row>
    <row r="148" spans="1:5" ht="12.75">
      <c r="A148" s="116"/>
      <c r="B148" s="116"/>
      <c r="C148" s="116"/>
      <c r="D148" s="116"/>
      <c r="E148" s="116"/>
    </row>
    <row r="149" spans="1:5" ht="12.75">
      <c r="A149" s="116"/>
      <c r="B149" s="116"/>
      <c r="C149" s="116"/>
      <c r="D149" s="116"/>
      <c r="E149" s="116"/>
    </row>
    <row r="150" spans="1:5" ht="12.75">
      <c r="A150" s="116"/>
      <c r="B150" s="116"/>
      <c r="C150" s="116"/>
      <c r="D150" s="116"/>
      <c r="E150" s="116"/>
    </row>
    <row r="151" spans="1:5" ht="12.75">
      <c r="A151" s="116"/>
      <c r="B151" s="116"/>
      <c r="C151" s="116"/>
      <c r="D151" s="116"/>
      <c r="E151" s="116"/>
    </row>
    <row r="152" spans="1:5" ht="12.75">
      <c r="A152" s="116"/>
      <c r="B152" s="116"/>
      <c r="C152" s="116"/>
      <c r="D152" s="116"/>
      <c r="E152" s="116"/>
    </row>
    <row r="153" spans="1:5" ht="12.75">
      <c r="A153" s="116"/>
      <c r="B153" s="116"/>
      <c r="C153" s="116"/>
      <c r="D153" s="116"/>
      <c r="E153" s="116"/>
    </row>
    <row r="154" spans="1:5" ht="12.75">
      <c r="A154" s="116"/>
      <c r="B154" s="116"/>
      <c r="C154" s="116"/>
      <c r="D154" s="116"/>
      <c r="E154" s="116"/>
    </row>
    <row r="155" spans="1:5" ht="12.75">
      <c r="A155" s="116"/>
      <c r="B155" s="116"/>
      <c r="C155" s="116"/>
      <c r="D155" s="116"/>
      <c r="E155" s="116"/>
    </row>
    <row r="156" spans="1:5" ht="12.75">
      <c r="A156" s="116"/>
      <c r="B156" s="116"/>
      <c r="C156" s="116"/>
      <c r="D156" s="116"/>
      <c r="E156" s="116"/>
    </row>
    <row r="157" spans="1:5" ht="12.75">
      <c r="A157" s="116"/>
      <c r="B157" s="116"/>
      <c r="C157" s="116"/>
      <c r="D157" s="116"/>
      <c r="E157" s="116"/>
    </row>
    <row r="158" spans="1:5" ht="12.75">
      <c r="A158" s="116"/>
      <c r="B158" s="116"/>
      <c r="C158" s="116"/>
      <c r="D158" s="116"/>
      <c r="E158" s="116"/>
    </row>
    <row r="159" spans="1:5" ht="12.75">
      <c r="A159" s="116"/>
      <c r="B159" s="116"/>
      <c r="C159" s="116"/>
      <c r="D159" s="116"/>
      <c r="E159" s="116"/>
    </row>
    <row r="160" spans="1:5" ht="12.75">
      <c r="A160" s="116"/>
      <c r="B160" s="116"/>
      <c r="C160" s="116"/>
      <c r="D160" s="116"/>
      <c r="E160" s="116"/>
    </row>
    <row r="161" spans="1:5" ht="12.75">
      <c r="A161" s="116"/>
      <c r="B161" s="116"/>
      <c r="C161" s="116"/>
      <c r="D161" s="116"/>
      <c r="E161" s="116"/>
    </row>
    <row r="162" spans="1:5" ht="12.75">
      <c r="A162" s="116"/>
      <c r="B162" s="116"/>
      <c r="C162" s="116"/>
      <c r="D162" s="116"/>
      <c r="E162" s="116"/>
    </row>
    <row r="163" spans="1:5" ht="12.75">
      <c r="A163" s="116"/>
      <c r="B163" s="116"/>
      <c r="C163" s="116"/>
      <c r="D163" s="116"/>
      <c r="E163" s="116"/>
    </row>
    <row r="164" spans="1:5" ht="12.75">
      <c r="A164" s="116"/>
      <c r="B164" s="116"/>
      <c r="C164" s="116"/>
      <c r="D164" s="116"/>
      <c r="E164" s="116"/>
    </row>
    <row r="165" spans="1:5" ht="12.75">
      <c r="A165" s="116"/>
      <c r="B165" s="116"/>
      <c r="C165" s="116"/>
      <c r="D165" s="116"/>
      <c r="E165" s="116"/>
    </row>
    <row r="166" spans="1:5" ht="12.75">
      <c r="A166" s="116"/>
      <c r="B166" s="116"/>
      <c r="C166" s="116"/>
      <c r="D166" s="116"/>
      <c r="E166" s="116"/>
    </row>
    <row r="167" spans="1:5" ht="12.75">
      <c r="A167" s="116"/>
      <c r="B167" s="116"/>
      <c r="C167" s="116"/>
      <c r="D167" s="116"/>
      <c r="E167" s="116"/>
    </row>
    <row r="168" spans="1:5" ht="12.75">
      <c r="A168" s="116"/>
      <c r="B168" s="116"/>
      <c r="C168" s="116"/>
      <c r="D168" s="116"/>
      <c r="E168" s="116"/>
    </row>
    <row r="169" spans="1:5" ht="12.75">
      <c r="A169" s="116"/>
      <c r="B169" s="116"/>
      <c r="C169" s="116"/>
      <c r="D169" s="116"/>
      <c r="E169" s="116"/>
    </row>
    <row r="170" spans="1:5" ht="12.75">
      <c r="A170" s="116"/>
      <c r="B170" s="116"/>
      <c r="C170" s="116"/>
      <c r="D170" s="116"/>
      <c r="E170" s="116"/>
    </row>
    <row r="171" spans="1:5" ht="12.75">
      <c r="A171" s="116"/>
      <c r="B171" s="116"/>
      <c r="C171" s="116"/>
      <c r="D171" s="116"/>
      <c r="E171" s="116"/>
    </row>
    <row r="177" spans="1:5" ht="12.75">
      <c r="A177" s="121"/>
      <c r="B177" s="121"/>
      <c r="C177" s="121"/>
      <c r="D177" s="121"/>
      <c r="E177" s="121"/>
    </row>
    <row r="178" spans="1:5" ht="12.75">
      <c r="A178" s="121"/>
      <c r="B178" s="121"/>
      <c r="C178" s="121"/>
      <c r="D178" s="121"/>
      <c r="E178" s="121"/>
    </row>
    <row r="179" spans="1:5" ht="12.75">
      <c r="A179" s="122"/>
      <c r="B179" s="122"/>
      <c r="C179" s="122"/>
      <c r="D179" s="122"/>
      <c r="E179" s="122"/>
    </row>
    <row r="180" spans="1:5" ht="12.75">
      <c r="A180" s="123"/>
      <c r="B180" s="123"/>
      <c r="C180" s="123"/>
      <c r="D180" s="123"/>
      <c r="E180" s="123"/>
    </row>
    <row r="181" spans="1:5" ht="12.75">
      <c r="A181" s="121"/>
      <c r="B181" s="121"/>
      <c r="C181" s="121"/>
      <c r="D181" s="121"/>
      <c r="E181" s="121"/>
    </row>
    <row r="182" spans="1:5" ht="12.75">
      <c r="A182" s="122"/>
      <c r="B182" s="122"/>
      <c r="C182" s="122"/>
      <c r="D182" s="122"/>
      <c r="E182" s="122"/>
    </row>
    <row r="183" spans="1:5" ht="12.75">
      <c r="A183" s="123"/>
      <c r="B183" s="123"/>
      <c r="C183" s="123"/>
      <c r="D183" s="123"/>
      <c r="E183" s="123"/>
    </row>
    <row r="184" spans="1:5" ht="12.75">
      <c r="A184" s="121"/>
      <c r="B184" s="121"/>
      <c r="C184" s="121"/>
      <c r="D184" s="121"/>
      <c r="E184" s="121"/>
    </row>
    <row r="185" spans="1:5" ht="12.75">
      <c r="A185" s="122"/>
      <c r="B185" s="122"/>
      <c r="C185" s="122"/>
      <c r="D185" s="122"/>
      <c r="E185" s="122"/>
    </row>
    <row r="186" spans="1:5" ht="12.75">
      <c r="A186" s="134"/>
      <c r="B186" s="121"/>
      <c r="C186" s="121"/>
      <c r="D186" s="121"/>
      <c r="E186" s="121"/>
    </row>
    <row r="187" spans="1:5" ht="12.75">
      <c r="A187" s="121"/>
      <c r="B187" s="121"/>
      <c r="C187" s="121"/>
      <c r="D187" s="121"/>
      <c r="E187" s="121"/>
    </row>
    <row r="188" spans="1:5" ht="12.75">
      <c r="A188" s="122"/>
      <c r="B188" s="122"/>
      <c r="C188" s="122"/>
      <c r="D188" s="122"/>
      <c r="E188" s="122"/>
    </row>
    <row r="189" spans="1:5" ht="12.75">
      <c r="A189" s="121"/>
      <c r="B189" s="121"/>
      <c r="C189" s="121"/>
      <c r="D189" s="121"/>
      <c r="E189" s="121"/>
    </row>
    <row r="190" spans="1:5" ht="12.75">
      <c r="A190" s="121"/>
      <c r="B190" s="121"/>
      <c r="C190" s="121"/>
      <c r="D190" s="121"/>
      <c r="E190" s="121"/>
    </row>
    <row r="191" spans="1:5" ht="12.75">
      <c r="A191" s="122"/>
      <c r="B191" s="122"/>
      <c r="C191" s="122"/>
      <c r="D191" s="122"/>
      <c r="E191" s="122"/>
    </row>
    <row r="192" spans="1:5" ht="12.75">
      <c r="A192" s="121"/>
      <c r="B192" s="121"/>
      <c r="C192" s="121"/>
      <c r="D192" s="121"/>
      <c r="E192" s="121"/>
    </row>
    <row r="193" spans="1:5" ht="12.75">
      <c r="A193" s="121"/>
      <c r="B193" s="121"/>
      <c r="C193" s="121"/>
      <c r="D193" s="121"/>
      <c r="E193" s="121"/>
    </row>
    <row r="194" spans="1:5" ht="12.75">
      <c r="A194" s="122"/>
      <c r="B194" s="122"/>
      <c r="C194" s="122"/>
      <c r="D194" s="122"/>
      <c r="E194" s="122"/>
    </row>
    <row r="195" spans="1:5" ht="12.75">
      <c r="A195" s="121"/>
      <c r="B195" s="121"/>
      <c r="C195" s="121"/>
      <c r="D195" s="121"/>
      <c r="E195" s="121"/>
    </row>
    <row r="196" spans="1:5" ht="12.75">
      <c r="A196" s="121"/>
      <c r="B196" s="121"/>
      <c r="C196" s="121"/>
      <c r="D196" s="121"/>
      <c r="E196" s="121"/>
    </row>
    <row r="197" spans="1:5" ht="12.75">
      <c r="A197" s="122"/>
      <c r="B197" s="122"/>
      <c r="C197" s="122"/>
      <c r="D197" s="122"/>
      <c r="E197" s="122"/>
    </row>
    <row r="198" spans="1:5" ht="12.75">
      <c r="A198" s="121"/>
      <c r="B198" s="121"/>
      <c r="C198" s="121"/>
      <c r="D198" s="121"/>
      <c r="E198" s="121"/>
    </row>
    <row r="199" spans="1:5" ht="12.75">
      <c r="A199" s="121"/>
      <c r="B199" s="121"/>
      <c r="C199" s="121"/>
      <c r="D199" s="121"/>
      <c r="E199" s="121"/>
    </row>
    <row r="200" spans="1:5" ht="12.75">
      <c r="A200" s="122"/>
      <c r="B200" s="122"/>
      <c r="C200" s="122"/>
      <c r="D200" s="122"/>
      <c r="E200" s="122"/>
    </row>
    <row r="201" spans="1:5" ht="12.75">
      <c r="A201" s="121"/>
      <c r="B201" s="121"/>
      <c r="C201" s="121"/>
      <c r="D201" s="121"/>
      <c r="E201" s="121"/>
    </row>
    <row r="202" spans="1:5" ht="12.75">
      <c r="A202" s="121"/>
      <c r="B202" s="121"/>
      <c r="C202" s="121"/>
      <c r="D202" s="121"/>
      <c r="E202" s="121"/>
    </row>
    <row r="203" spans="1:5" ht="12.75">
      <c r="A203" s="122"/>
      <c r="B203" s="122"/>
      <c r="C203" s="122"/>
      <c r="D203" s="122"/>
      <c r="E203" s="122"/>
    </row>
    <row r="204" spans="1:5" ht="12.75">
      <c r="A204" s="121"/>
      <c r="B204" s="121"/>
      <c r="C204" s="121"/>
      <c r="D204" s="121"/>
      <c r="E204" s="121"/>
    </row>
    <row r="205" spans="1:5" ht="12.75">
      <c r="A205" s="121"/>
      <c r="B205" s="121"/>
      <c r="C205" s="121"/>
      <c r="D205" s="121"/>
      <c r="E205" s="121"/>
    </row>
    <row r="206" spans="1:5" ht="12.75">
      <c r="A206" s="122"/>
      <c r="B206" s="122"/>
      <c r="C206" s="122"/>
      <c r="D206" s="122"/>
      <c r="E206" s="122"/>
    </row>
    <row r="207" spans="1:5" ht="12.75">
      <c r="A207" s="121"/>
      <c r="B207" s="121"/>
      <c r="C207" s="121"/>
      <c r="D207" s="121"/>
      <c r="E207" s="121"/>
    </row>
    <row r="208" spans="1:5" ht="12.75">
      <c r="A208" s="121"/>
      <c r="B208" s="121"/>
      <c r="C208" s="121"/>
      <c r="D208" s="121"/>
      <c r="E208" s="121"/>
    </row>
    <row r="209" spans="1:5" ht="12.75">
      <c r="A209" s="122"/>
      <c r="B209" s="122"/>
      <c r="C209" s="122"/>
      <c r="D209" s="122"/>
      <c r="E209" s="122"/>
    </row>
    <row r="210" spans="1:5" ht="12.75">
      <c r="A210" s="121"/>
      <c r="B210" s="121"/>
      <c r="C210" s="121"/>
      <c r="D210" s="121"/>
      <c r="E210" s="121"/>
    </row>
    <row r="211" spans="1:5" ht="12.75">
      <c r="A211" s="121"/>
      <c r="B211" s="121"/>
      <c r="C211" s="121"/>
      <c r="D211" s="121"/>
      <c r="E211" s="121"/>
    </row>
    <row r="212" spans="1:5" ht="12.75">
      <c r="A212" s="122"/>
      <c r="B212" s="122"/>
      <c r="C212" s="122"/>
      <c r="D212" s="122"/>
      <c r="E212" s="122"/>
    </row>
    <row r="213" spans="1:5" ht="12.75">
      <c r="A213" s="121"/>
      <c r="B213" s="121"/>
      <c r="C213" s="121"/>
      <c r="D213" s="121"/>
      <c r="E213" s="121"/>
    </row>
    <row r="214" spans="1:5" ht="12.75">
      <c r="A214" s="121"/>
      <c r="B214" s="121"/>
      <c r="C214" s="121"/>
      <c r="D214" s="121"/>
      <c r="E214" s="121"/>
    </row>
    <row r="215" spans="1:5" ht="12.75">
      <c r="A215" s="122"/>
      <c r="B215" s="122"/>
      <c r="C215" s="122"/>
      <c r="D215" s="122"/>
      <c r="E215" s="122"/>
    </row>
    <row r="216" spans="1:5" ht="12.75">
      <c r="A216" s="121"/>
      <c r="B216" s="121"/>
      <c r="C216" s="121"/>
      <c r="D216" s="121"/>
      <c r="E216" s="121"/>
    </row>
    <row r="217" spans="1:5" ht="12.75">
      <c r="A217" s="121"/>
      <c r="B217" s="121"/>
      <c r="C217" s="121"/>
      <c r="D217" s="121"/>
      <c r="E217" s="121"/>
    </row>
    <row r="218" spans="1:5" ht="12.75">
      <c r="A218" s="122"/>
      <c r="B218" s="122"/>
      <c r="C218" s="122"/>
      <c r="D218" s="122"/>
      <c r="E218" s="122"/>
    </row>
    <row r="219" spans="1:5" ht="12.75">
      <c r="A219" s="121"/>
      <c r="B219" s="121"/>
      <c r="C219" s="121"/>
      <c r="D219" s="121"/>
      <c r="E219" s="121"/>
    </row>
    <row r="220" spans="1:5" ht="12.75">
      <c r="A220" s="121"/>
      <c r="B220" s="121"/>
      <c r="C220" s="121"/>
      <c r="D220" s="121"/>
      <c r="E220" s="121"/>
    </row>
    <row r="221" spans="1:5" ht="12.75">
      <c r="A221" s="122"/>
      <c r="B221" s="122"/>
      <c r="C221" s="122"/>
      <c r="D221" s="122"/>
      <c r="E221" s="122"/>
    </row>
    <row r="222" spans="1:5" ht="12.75">
      <c r="A222" s="121"/>
      <c r="B222" s="121"/>
      <c r="C222" s="121"/>
      <c r="D222" s="121"/>
      <c r="E222" s="121"/>
    </row>
    <row r="223" spans="1:5" ht="12.75">
      <c r="A223" s="121"/>
      <c r="B223" s="121"/>
      <c r="C223" s="121"/>
      <c r="D223" s="121"/>
      <c r="E223" s="121"/>
    </row>
    <row r="224" spans="1:5" ht="12.75">
      <c r="A224" s="122"/>
      <c r="B224" s="122"/>
      <c r="C224" s="122"/>
      <c r="D224" s="122"/>
      <c r="E224" s="122"/>
    </row>
    <row r="225" spans="1:5" ht="12.75">
      <c r="A225" s="121"/>
      <c r="B225" s="121"/>
      <c r="C225" s="121"/>
      <c r="D225" s="121"/>
      <c r="E225" s="121"/>
    </row>
    <row r="226" spans="1:5" ht="12.75">
      <c r="A226" s="121"/>
      <c r="B226" s="121"/>
      <c r="C226" s="121"/>
      <c r="D226" s="121"/>
      <c r="E226" s="121"/>
    </row>
    <row r="227" spans="1:5" ht="12.75">
      <c r="A227" s="122"/>
      <c r="B227" s="122"/>
      <c r="C227" s="122"/>
      <c r="D227" s="122"/>
      <c r="E227" s="122"/>
    </row>
    <row r="228" spans="1:5" ht="12.75">
      <c r="A228" s="121"/>
      <c r="B228" s="121"/>
      <c r="C228" s="121"/>
      <c r="D228" s="121"/>
      <c r="E228" s="121"/>
    </row>
    <row r="229" spans="1:5" ht="12.75">
      <c r="A229" s="121"/>
      <c r="B229" s="121"/>
      <c r="C229" s="121"/>
      <c r="D229" s="121"/>
      <c r="E229" s="121"/>
    </row>
    <row r="230" spans="1:5" ht="12.75">
      <c r="A230" s="122"/>
      <c r="B230" s="122"/>
      <c r="C230" s="122"/>
      <c r="D230" s="122"/>
      <c r="E230" s="122"/>
    </row>
    <row r="231" spans="1:5" ht="12.75">
      <c r="A231" s="121"/>
      <c r="B231" s="121"/>
      <c r="C231" s="121"/>
      <c r="D231" s="121"/>
      <c r="E231" s="121"/>
    </row>
    <row r="232" spans="1:5" ht="12.75">
      <c r="A232" s="121"/>
      <c r="B232" s="121"/>
      <c r="C232" s="121"/>
      <c r="D232" s="121"/>
      <c r="E232" s="121"/>
    </row>
    <row r="233" spans="1:5" ht="12.75">
      <c r="A233" s="122"/>
      <c r="B233" s="122"/>
      <c r="C233" s="122"/>
      <c r="D233" s="122"/>
      <c r="E233" s="122"/>
    </row>
    <row r="234" spans="1:5" ht="12.75">
      <c r="A234" s="121"/>
      <c r="B234" s="121"/>
      <c r="C234" s="121"/>
      <c r="D234" s="121"/>
      <c r="E234" s="121"/>
    </row>
    <row r="235" spans="1:5" ht="12.75">
      <c r="A235" s="121"/>
      <c r="B235" s="121"/>
      <c r="C235" s="121"/>
      <c r="D235" s="121"/>
      <c r="E235" s="121"/>
    </row>
    <row r="236" spans="1:5" ht="12.75">
      <c r="A236" s="122"/>
      <c r="B236" s="122"/>
      <c r="C236" s="122"/>
      <c r="D236" s="122"/>
      <c r="E236" s="122"/>
    </row>
    <row r="237" spans="1:5" ht="12.75">
      <c r="A237" s="121"/>
      <c r="B237" s="121"/>
      <c r="C237" s="121"/>
      <c r="D237" s="121"/>
      <c r="E237" s="121"/>
    </row>
    <row r="238" spans="1:5" ht="12.75">
      <c r="A238" s="121"/>
      <c r="B238" s="121"/>
      <c r="C238" s="121"/>
      <c r="D238" s="121"/>
      <c r="E238" s="121"/>
    </row>
    <row r="239" spans="1:5" ht="12.75">
      <c r="A239" s="122"/>
      <c r="B239" s="122"/>
      <c r="C239" s="122"/>
      <c r="D239" s="122"/>
      <c r="E239" s="122"/>
    </row>
    <row r="240" spans="1:5" ht="12.75">
      <c r="A240" s="121"/>
      <c r="B240" s="121"/>
      <c r="C240" s="121"/>
      <c r="D240" s="121"/>
      <c r="E240" s="121"/>
    </row>
    <row r="241" spans="1:5" ht="12.75">
      <c r="A241" s="121"/>
      <c r="B241" s="121"/>
      <c r="C241" s="121"/>
      <c r="D241" s="121"/>
      <c r="E241" s="121"/>
    </row>
    <row r="242" spans="1:5" ht="12.75">
      <c r="A242" s="122"/>
      <c r="B242" s="122"/>
      <c r="C242" s="122"/>
      <c r="D242" s="122"/>
      <c r="E242" s="122"/>
    </row>
    <row r="243" spans="1:5" ht="12.75">
      <c r="A243" s="121"/>
      <c r="B243" s="121"/>
      <c r="C243" s="121"/>
      <c r="D243" s="121"/>
      <c r="E243" s="121"/>
    </row>
    <row r="244" spans="1:5" ht="12.75">
      <c r="A244" s="121"/>
      <c r="B244" s="121"/>
      <c r="C244" s="121"/>
      <c r="D244" s="121"/>
      <c r="E244" s="121"/>
    </row>
    <row r="245" spans="1:5" ht="12.75">
      <c r="A245" s="122"/>
      <c r="B245" s="122"/>
      <c r="C245" s="122"/>
      <c r="D245" s="122"/>
      <c r="E245" s="122"/>
    </row>
    <row r="246" spans="1:5" ht="12.75">
      <c r="A246" s="121"/>
      <c r="B246" s="121"/>
      <c r="C246" s="121"/>
      <c r="D246" s="121"/>
      <c r="E246" s="121"/>
    </row>
    <row r="247" spans="1:5" ht="12.75">
      <c r="A247" s="121"/>
      <c r="B247" s="121"/>
      <c r="C247" s="121"/>
      <c r="D247" s="121"/>
      <c r="E247" s="121"/>
    </row>
    <row r="248" spans="1:5" ht="12.75">
      <c r="A248" s="122"/>
      <c r="B248" s="122"/>
      <c r="C248" s="122"/>
      <c r="D248" s="122"/>
      <c r="E248" s="122"/>
    </row>
    <row r="249" spans="1:5" ht="12.75">
      <c r="A249" s="121"/>
      <c r="B249" s="121"/>
      <c r="C249" s="121"/>
      <c r="D249" s="121"/>
      <c r="E249" s="121"/>
    </row>
    <row r="250" spans="1:5" ht="12.75">
      <c r="A250" s="121"/>
      <c r="B250" s="121"/>
      <c r="C250" s="121"/>
      <c r="D250" s="121"/>
      <c r="E250" s="121"/>
    </row>
    <row r="251" spans="1:5" ht="12.75">
      <c r="A251" s="122"/>
      <c r="B251" s="122"/>
      <c r="C251" s="122"/>
      <c r="D251" s="122"/>
      <c r="E251" s="122"/>
    </row>
    <row r="252" spans="1:5" ht="12.75">
      <c r="A252" s="121"/>
      <c r="B252" s="121"/>
      <c r="C252" s="121"/>
      <c r="D252" s="121"/>
      <c r="E252" s="121"/>
    </row>
    <row r="253" spans="1:5" ht="12.75">
      <c r="A253" s="121"/>
      <c r="B253" s="121"/>
      <c r="C253" s="121"/>
      <c r="D253" s="121"/>
      <c r="E253" s="121"/>
    </row>
    <row r="254" spans="1:5" ht="12.75">
      <c r="A254" s="122"/>
      <c r="B254" s="122"/>
      <c r="C254" s="122"/>
      <c r="D254" s="122"/>
      <c r="E254" s="122"/>
    </row>
    <row r="255" spans="1:5" ht="12.75">
      <c r="A255" s="121"/>
      <c r="B255" s="121"/>
      <c r="C255" s="121"/>
      <c r="D255" s="121"/>
      <c r="E255" s="121"/>
    </row>
    <row r="256" spans="1:5" ht="12.75">
      <c r="A256" s="121"/>
      <c r="B256" s="121"/>
      <c r="C256" s="121"/>
      <c r="D256" s="121"/>
      <c r="E256" s="121"/>
    </row>
    <row r="257" spans="1:5" ht="12.75">
      <c r="A257" s="122"/>
      <c r="B257" s="122"/>
      <c r="C257" s="122"/>
      <c r="D257" s="122"/>
      <c r="E257" s="122"/>
    </row>
    <row r="258" spans="1:5" ht="12.75">
      <c r="A258" s="121"/>
      <c r="B258" s="121"/>
      <c r="C258" s="121"/>
      <c r="D258" s="121"/>
      <c r="E258" s="121"/>
    </row>
    <row r="259" spans="1:5" ht="12.75">
      <c r="A259" s="121"/>
      <c r="B259" s="121"/>
      <c r="C259" s="121"/>
      <c r="D259" s="121"/>
      <c r="E259" s="121"/>
    </row>
    <row r="260" spans="1:5" ht="12.75">
      <c r="A260" s="122"/>
      <c r="B260" s="122"/>
      <c r="C260" s="122"/>
      <c r="D260" s="122"/>
      <c r="E260" s="122"/>
    </row>
    <row r="261" spans="1:5" ht="12.75">
      <c r="A261" s="121"/>
      <c r="B261" s="121"/>
      <c r="C261" s="121"/>
      <c r="D261" s="121"/>
      <c r="E261" s="121"/>
    </row>
    <row r="262" spans="1:5" ht="12.75">
      <c r="A262" s="121"/>
      <c r="B262" s="121"/>
      <c r="C262" s="121"/>
      <c r="D262" s="121"/>
      <c r="E262" s="121"/>
    </row>
    <row r="263" spans="1:5" ht="12.75">
      <c r="A263" s="122"/>
      <c r="B263" s="122"/>
      <c r="C263" s="122"/>
      <c r="D263" s="122"/>
      <c r="E263" s="122"/>
    </row>
    <row r="264" spans="1:5" ht="12.75">
      <c r="A264" s="121"/>
      <c r="B264" s="121"/>
      <c r="C264" s="121"/>
      <c r="D264" s="121"/>
      <c r="E264" s="121"/>
    </row>
    <row r="265" spans="1:5" ht="12.75">
      <c r="A265" s="121"/>
      <c r="B265" s="121"/>
      <c r="C265" s="121"/>
      <c r="D265" s="121"/>
      <c r="E265" s="121"/>
    </row>
    <row r="266" spans="1:5" ht="12.75">
      <c r="A266" s="122"/>
      <c r="B266" s="122"/>
      <c r="C266" s="122"/>
      <c r="D266" s="122"/>
      <c r="E266" s="122"/>
    </row>
    <row r="267" spans="1:5" ht="12.75">
      <c r="A267" s="121"/>
      <c r="B267" s="121"/>
      <c r="C267" s="121"/>
      <c r="D267" s="121"/>
      <c r="E267" s="121"/>
    </row>
    <row r="268" spans="1:5" ht="12.75">
      <c r="A268" s="121"/>
      <c r="B268" s="121"/>
      <c r="C268" s="121"/>
      <c r="D268" s="121"/>
      <c r="E268" s="121"/>
    </row>
    <row r="269" spans="1:5" ht="12.75">
      <c r="A269" s="122"/>
      <c r="B269" s="122"/>
      <c r="C269" s="122"/>
      <c r="D269" s="122"/>
      <c r="E269" s="122"/>
    </row>
    <row r="270" spans="1:5" ht="12.75">
      <c r="A270" s="121"/>
      <c r="B270" s="121"/>
      <c r="C270" s="121"/>
      <c r="D270" s="121"/>
      <c r="E270" s="121"/>
    </row>
    <row r="271" spans="1:5" ht="12.75">
      <c r="A271" s="121"/>
      <c r="B271" s="121"/>
      <c r="C271" s="121"/>
      <c r="D271" s="121"/>
      <c r="E271" s="121"/>
    </row>
    <row r="272" spans="1:5" ht="12.75">
      <c r="A272" s="122"/>
      <c r="B272" s="122"/>
      <c r="C272" s="122"/>
      <c r="D272" s="122"/>
      <c r="E272" s="122"/>
    </row>
    <row r="273" spans="1:5" ht="12.75">
      <c r="A273" s="121"/>
      <c r="B273" s="121"/>
      <c r="C273" s="121"/>
      <c r="D273" s="121"/>
      <c r="E273" s="121"/>
    </row>
    <row r="274" spans="1:5" ht="12.75">
      <c r="A274" s="121"/>
      <c r="B274" s="121"/>
      <c r="C274" s="121"/>
      <c r="D274" s="121"/>
      <c r="E274" s="121"/>
    </row>
    <row r="275" spans="1:5" ht="12.75">
      <c r="A275" s="122"/>
      <c r="B275" s="122"/>
      <c r="C275" s="122"/>
      <c r="D275" s="122"/>
      <c r="E275" s="122"/>
    </row>
    <row r="276" spans="1:5" ht="12.75">
      <c r="A276" s="121"/>
      <c r="B276" s="121"/>
      <c r="C276" s="121"/>
      <c r="D276" s="121"/>
      <c r="E276" s="121"/>
    </row>
    <row r="277" spans="1:5" ht="12.75">
      <c r="A277" s="121"/>
      <c r="B277" s="121"/>
      <c r="C277" s="121"/>
      <c r="D277" s="121"/>
      <c r="E277" s="121"/>
    </row>
    <row r="278" spans="1:5" ht="12.75">
      <c r="A278" s="122"/>
      <c r="B278" s="122"/>
      <c r="C278" s="122"/>
      <c r="D278" s="122"/>
      <c r="E278" s="122"/>
    </row>
    <row r="279" spans="1:5" ht="12.75">
      <c r="A279" s="121"/>
      <c r="B279" s="121"/>
      <c r="C279" s="121"/>
      <c r="D279" s="121"/>
      <c r="E279" s="121"/>
    </row>
    <row r="280" spans="1:5" ht="12.75">
      <c r="A280" s="121"/>
      <c r="B280" s="121"/>
      <c r="C280" s="121"/>
      <c r="D280" s="121"/>
      <c r="E280" s="121"/>
    </row>
    <row r="281" spans="1:5" ht="12.75">
      <c r="A281" s="122"/>
      <c r="B281" s="122"/>
      <c r="C281" s="122"/>
      <c r="D281" s="122"/>
      <c r="E281" s="122"/>
    </row>
    <row r="282" spans="1:5" ht="12.75">
      <c r="A282" s="121"/>
      <c r="B282" s="121"/>
      <c r="C282" s="121"/>
      <c r="D282" s="121"/>
      <c r="E282" s="121"/>
    </row>
    <row r="283" spans="1:5" ht="12.75">
      <c r="A283" s="121"/>
      <c r="B283" s="121"/>
      <c r="C283" s="121"/>
      <c r="D283" s="121"/>
      <c r="E283" s="121"/>
    </row>
    <row r="284" spans="1:5" ht="12.75">
      <c r="A284" s="122"/>
      <c r="B284" s="122"/>
      <c r="C284" s="122"/>
      <c r="D284" s="122"/>
      <c r="E284" s="122"/>
    </row>
    <row r="285" spans="1:5" ht="12.75">
      <c r="A285" s="121"/>
      <c r="B285" s="121"/>
      <c r="C285" s="121"/>
      <c r="D285" s="121"/>
      <c r="E285" s="121"/>
    </row>
    <row r="286" spans="1:5" ht="12.75">
      <c r="A286" s="121"/>
      <c r="B286" s="121"/>
      <c r="C286" s="121"/>
      <c r="D286" s="121"/>
      <c r="E286" s="121"/>
    </row>
    <row r="287" spans="1:5" ht="12.75">
      <c r="A287" s="122"/>
      <c r="B287" s="122"/>
      <c r="C287" s="122"/>
      <c r="D287" s="122"/>
      <c r="E287" s="122"/>
    </row>
    <row r="288" spans="1:5" ht="12.75">
      <c r="A288" s="121"/>
      <c r="B288" s="121"/>
      <c r="C288" s="121"/>
      <c r="D288" s="121"/>
      <c r="E288" s="121"/>
    </row>
    <row r="289" spans="1:5" ht="12.75">
      <c r="A289" s="121"/>
      <c r="B289" s="121"/>
      <c r="C289" s="121"/>
      <c r="D289" s="121"/>
      <c r="E289" s="121"/>
    </row>
    <row r="290" spans="1:5" ht="12.75">
      <c r="A290" s="122"/>
      <c r="B290" s="122"/>
      <c r="C290" s="122"/>
      <c r="D290" s="122"/>
      <c r="E290" s="122"/>
    </row>
    <row r="291" spans="1:5" ht="12.75">
      <c r="A291" s="121"/>
      <c r="B291" s="121"/>
      <c r="C291" s="121"/>
      <c r="D291" s="121"/>
      <c r="E291" s="121"/>
    </row>
    <row r="292" spans="1:5" ht="12.75">
      <c r="A292" s="121"/>
      <c r="B292" s="121"/>
      <c r="C292" s="121"/>
      <c r="D292" s="121"/>
      <c r="E292" s="121"/>
    </row>
    <row r="293" spans="1:5" ht="12.75">
      <c r="A293" s="122"/>
      <c r="B293" s="122"/>
      <c r="C293" s="122"/>
      <c r="D293" s="122"/>
      <c r="E293" s="122"/>
    </row>
    <row r="294" spans="1:5" ht="12.75">
      <c r="A294" s="121"/>
      <c r="B294" s="121"/>
      <c r="C294" s="121"/>
      <c r="D294" s="121"/>
      <c r="E294" s="121"/>
    </row>
    <row r="295" spans="1:5" ht="12.75">
      <c r="A295" s="121"/>
      <c r="B295" s="121"/>
      <c r="C295" s="121"/>
      <c r="D295" s="121"/>
      <c r="E295" s="121"/>
    </row>
    <row r="296" spans="1:5" ht="12.75">
      <c r="A296" s="122"/>
      <c r="B296" s="122"/>
      <c r="C296" s="122"/>
      <c r="D296" s="122"/>
      <c r="E296" s="122"/>
    </row>
    <row r="297" spans="1:5" ht="12.75">
      <c r="A297" s="121"/>
      <c r="B297" s="121"/>
      <c r="C297" s="121"/>
      <c r="D297" s="121"/>
      <c r="E297" s="121"/>
    </row>
    <row r="298" spans="1:5" ht="12.75">
      <c r="A298" s="121"/>
      <c r="B298" s="121"/>
      <c r="C298" s="121"/>
      <c r="D298" s="121"/>
      <c r="E298" s="121"/>
    </row>
    <row r="299" spans="1:5" ht="12.75">
      <c r="A299" s="122"/>
      <c r="B299" s="122"/>
      <c r="C299" s="122"/>
      <c r="D299" s="122"/>
      <c r="E299" s="122"/>
    </row>
    <row r="300" spans="1:5" ht="12.75">
      <c r="A300" s="125"/>
      <c r="B300" s="126"/>
      <c r="C300" s="126"/>
      <c r="D300" s="126"/>
      <c r="E300" s="127"/>
    </row>
    <row r="301" spans="1:5" ht="12.75">
      <c r="A301" s="128"/>
      <c r="B301" s="129"/>
      <c r="C301" s="129"/>
      <c r="D301" s="129"/>
      <c r="E301" s="130"/>
    </row>
    <row r="302" spans="1:5" ht="12.75">
      <c r="A302" s="131"/>
      <c r="B302" s="132"/>
      <c r="C302" s="132"/>
      <c r="D302" s="132"/>
      <c r="E302" s="133"/>
    </row>
    <row r="303" spans="1:5" ht="12.75">
      <c r="A303" s="124"/>
      <c r="B303" s="124"/>
      <c r="C303" s="124"/>
      <c r="D303" s="124"/>
      <c r="E303" s="124"/>
    </row>
    <row r="304" spans="1:5" ht="12.75">
      <c r="A304" s="124"/>
      <c r="B304" s="124"/>
      <c r="C304" s="124"/>
      <c r="D304" s="124"/>
      <c r="E304" s="124"/>
    </row>
    <row r="305" spans="1:5" ht="12.75">
      <c r="A305" s="124"/>
      <c r="B305" s="124"/>
      <c r="C305" s="124"/>
      <c r="D305" s="124"/>
      <c r="E305" s="124"/>
    </row>
    <row r="306" spans="1:5" ht="12.75">
      <c r="A306" s="136"/>
      <c r="B306" s="137"/>
      <c r="C306" s="137"/>
      <c r="D306" s="137"/>
      <c r="E306" s="137"/>
    </row>
    <row r="307" spans="1:5" ht="12.75">
      <c r="A307" s="137"/>
      <c r="B307" s="137"/>
      <c r="C307" s="137"/>
      <c r="D307" s="137"/>
      <c r="E307" s="137"/>
    </row>
    <row r="308" spans="1:5" ht="12.75">
      <c r="A308" s="137"/>
      <c r="B308" s="137"/>
      <c r="C308" s="137"/>
      <c r="D308" s="137"/>
      <c r="E308" s="137"/>
    </row>
    <row r="309" spans="1:5" ht="12.75">
      <c r="A309" s="124"/>
      <c r="B309" s="124"/>
      <c r="C309" s="124"/>
      <c r="D309" s="124"/>
      <c r="E309" s="124"/>
    </row>
    <row r="310" spans="1:5" ht="12.75">
      <c r="A310" s="124"/>
      <c r="B310" s="124"/>
      <c r="C310" s="124"/>
      <c r="D310" s="124"/>
      <c r="E310" s="124"/>
    </row>
    <row r="311" spans="1:5" ht="12.75">
      <c r="A311" s="124"/>
      <c r="B311" s="124"/>
      <c r="C311" s="124"/>
      <c r="D311" s="124"/>
      <c r="E311" s="124"/>
    </row>
    <row r="312" spans="1:5" ht="12.75">
      <c r="A312" s="135"/>
      <c r="B312" s="135"/>
      <c r="C312" s="135"/>
      <c r="D312" s="135"/>
      <c r="E312" s="135"/>
    </row>
    <row r="313" spans="1:5" ht="12.75">
      <c r="A313" s="135"/>
      <c r="B313" s="135"/>
      <c r="C313" s="135"/>
      <c r="D313" s="135"/>
      <c r="E313" s="135"/>
    </row>
    <row r="314" spans="1:5" ht="12.75">
      <c r="A314" s="135"/>
      <c r="B314" s="135"/>
      <c r="C314" s="135"/>
      <c r="D314" s="135"/>
      <c r="E314" s="135"/>
    </row>
    <row r="315" spans="1:5" ht="12.75">
      <c r="A315" s="124"/>
      <c r="B315" s="124"/>
      <c r="C315" s="124"/>
      <c r="D315" s="124"/>
      <c r="E315" s="124"/>
    </row>
    <row r="316" spans="1:5" ht="12.75">
      <c r="A316" s="124"/>
      <c r="B316" s="124"/>
      <c r="C316" s="124"/>
      <c r="D316" s="124"/>
      <c r="E316" s="124"/>
    </row>
    <row r="317" spans="1:5" ht="12.75">
      <c r="A317" s="124"/>
      <c r="B317" s="124"/>
      <c r="C317" s="124"/>
      <c r="D317" s="124"/>
      <c r="E317" s="124"/>
    </row>
    <row r="318" spans="1:5" ht="12.75">
      <c r="A318" s="135"/>
      <c r="B318" s="135"/>
      <c r="C318" s="135"/>
      <c r="D318" s="135"/>
      <c r="E318" s="135"/>
    </row>
    <row r="319" spans="1:5" ht="12.75">
      <c r="A319" s="135"/>
      <c r="B319" s="135"/>
      <c r="C319" s="135"/>
      <c r="D319" s="135"/>
      <c r="E319" s="135"/>
    </row>
    <row r="320" spans="1:5" ht="12.75">
      <c r="A320" s="135"/>
      <c r="B320" s="135"/>
      <c r="C320" s="135"/>
      <c r="D320" s="135"/>
      <c r="E320" s="135"/>
    </row>
    <row r="321" spans="1:5" ht="12.75">
      <c r="A321" s="124"/>
      <c r="B321" s="124"/>
      <c r="C321" s="124"/>
      <c r="D321" s="124"/>
      <c r="E321" s="124"/>
    </row>
    <row r="322" spans="1:5" ht="12.75">
      <c r="A322" s="124"/>
      <c r="B322" s="124"/>
      <c r="C322" s="124"/>
      <c r="D322" s="124"/>
      <c r="E322" s="124"/>
    </row>
    <row r="323" spans="1:5" ht="12.75">
      <c r="A323" s="124"/>
      <c r="B323" s="124"/>
      <c r="C323" s="124"/>
      <c r="D323" s="124"/>
      <c r="E323" s="124"/>
    </row>
    <row r="324" spans="1:5" ht="12.75">
      <c r="A324" s="135"/>
      <c r="B324" s="135"/>
      <c r="C324" s="135"/>
      <c r="D324" s="135"/>
      <c r="E324" s="135"/>
    </row>
    <row r="325" spans="1:5" ht="12.75">
      <c r="A325" s="135"/>
      <c r="B325" s="135"/>
      <c r="C325" s="135"/>
      <c r="D325" s="135"/>
      <c r="E325" s="135"/>
    </row>
    <row r="326" spans="1:5" ht="12.75">
      <c r="A326" s="135"/>
      <c r="B326" s="135"/>
      <c r="C326" s="135"/>
      <c r="D326" s="135"/>
      <c r="E326" s="135"/>
    </row>
    <row r="327" spans="1:5" ht="12.75">
      <c r="A327" s="124"/>
      <c r="B327" s="124"/>
      <c r="C327" s="124"/>
      <c r="D327" s="124"/>
      <c r="E327" s="124"/>
    </row>
    <row r="328" spans="1:5" ht="12.75">
      <c r="A328" s="124"/>
      <c r="B328" s="124"/>
      <c r="C328" s="124"/>
      <c r="D328" s="124"/>
      <c r="E328" s="124"/>
    </row>
    <row r="329" spans="1:5" ht="12.75">
      <c r="A329" s="124"/>
      <c r="B329" s="124"/>
      <c r="C329" s="124"/>
      <c r="D329" s="124"/>
      <c r="E329" s="124"/>
    </row>
    <row r="330" spans="1:5" ht="12.75">
      <c r="A330" s="135"/>
      <c r="B330" s="135"/>
      <c r="C330" s="135"/>
      <c r="D330" s="135"/>
      <c r="E330" s="135"/>
    </row>
    <row r="331" spans="1:5" ht="12.75">
      <c r="A331" s="135"/>
      <c r="B331" s="135"/>
      <c r="C331" s="135"/>
      <c r="D331" s="135"/>
      <c r="E331" s="135"/>
    </row>
    <row r="332" spans="1:5" ht="12.75">
      <c r="A332" s="135"/>
      <c r="B332" s="135"/>
      <c r="C332" s="135"/>
      <c r="D332" s="135"/>
      <c r="E332" s="135"/>
    </row>
    <row r="333" spans="1:5" ht="12.75">
      <c r="A333" s="124"/>
      <c r="B333" s="124"/>
      <c r="C333" s="124"/>
      <c r="D333" s="124"/>
      <c r="E333" s="124"/>
    </row>
    <row r="334" spans="1:5" ht="12.75">
      <c r="A334" s="124"/>
      <c r="B334" s="124"/>
      <c r="C334" s="124"/>
      <c r="D334" s="124"/>
      <c r="E334" s="124"/>
    </row>
    <row r="335" spans="1:5" ht="12.75">
      <c r="A335" s="124"/>
      <c r="B335" s="124"/>
      <c r="C335" s="124"/>
      <c r="D335" s="124"/>
      <c r="E335" s="124"/>
    </row>
    <row r="336" spans="1:5" ht="12.75">
      <c r="A336" s="135"/>
      <c r="B336" s="135"/>
      <c r="C336" s="135"/>
      <c r="D336" s="135"/>
      <c r="E336" s="135"/>
    </row>
    <row r="337" spans="1:5" ht="12.75">
      <c r="A337" s="135"/>
      <c r="B337" s="135"/>
      <c r="C337" s="135"/>
      <c r="D337" s="135"/>
      <c r="E337" s="135"/>
    </row>
    <row r="338" spans="1:5" ht="12.75">
      <c r="A338" s="135"/>
      <c r="B338" s="135"/>
      <c r="C338" s="135"/>
      <c r="D338" s="135"/>
      <c r="E338" s="135"/>
    </row>
    <row r="339" spans="1:5" ht="12.75">
      <c r="A339" s="124"/>
      <c r="B339" s="124"/>
      <c r="C339" s="124"/>
      <c r="D339" s="124"/>
      <c r="E339" s="124"/>
    </row>
    <row r="340" spans="1:5" ht="12.75">
      <c r="A340" s="124"/>
      <c r="B340" s="124"/>
      <c r="C340" s="124"/>
      <c r="D340" s="124"/>
      <c r="E340" s="124"/>
    </row>
    <row r="341" spans="1:5" ht="12.75">
      <c r="A341" s="124"/>
      <c r="B341" s="124"/>
      <c r="C341" s="124"/>
      <c r="D341" s="124"/>
      <c r="E341" s="124"/>
    </row>
    <row r="342" spans="1:5" ht="12.75">
      <c r="A342" s="135"/>
      <c r="B342" s="135"/>
      <c r="C342" s="135"/>
      <c r="D342" s="135"/>
      <c r="E342" s="135"/>
    </row>
    <row r="343" spans="1:5" ht="12.75">
      <c r="A343" s="135"/>
      <c r="B343" s="135"/>
      <c r="C343" s="135"/>
      <c r="D343" s="135"/>
      <c r="E343" s="135"/>
    </row>
    <row r="344" spans="1:5" ht="12.75">
      <c r="A344" s="135"/>
      <c r="B344" s="135"/>
      <c r="C344" s="135"/>
      <c r="D344" s="135"/>
      <c r="E344" s="135"/>
    </row>
    <row r="345" spans="1:5" ht="12.75">
      <c r="A345" s="124"/>
      <c r="B345" s="124"/>
      <c r="C345" s="124"/>
      <c r="D345" s="124"/>
      <c r="E345" s="124"/>
    </row>
    <row r="346" spans="1:5" ht="12.75">
      <c r="A346" s="124"/>
      <c r="B346" s="124"/>
      <c r="C346" s="124"/>
      <c r="D346" s="124"/>
      <c r="E346" s="124"/>
    </row>
    <row r="347" spans="1:5" ht="12.75">
      <c r="A347" s="124"/>
      <c r="B347" s="124"/>
      <c r="C347" s="124"/>
      <c r="D347" s="124"/>
      <c r="E347" s="124"/>
    </row>
    <row r="348" spans="1:5" ht="12.75">
      <c r="A348" s="135"/>
      <c r="B348" s="135"/>
      <c r="C348" s="135"/>
      <c r="D348" s="135"/>
      <c r="E348" s="135"/>
    </row>
    <row r="349" spans="1:5" ht="12.75">
      <c r="A349" s="135"/>
      <c r="B349" s="135"/>
      <c r="C349" s="135"/>
      <c r="D349" s="135"/>
      <c r="E349" s="135"/>
    </row>
    <row r="350" spans="1:5" ht="12.75">
      <c r="A350" s="135"/>
      <c r="B350" s="135"/>
      <c r="C350" s="135"/>
      <c r="D350" s="135"/>
      <c r="E350" s="135"/>
    </row>
    <row r="351" spans="1:5" ht="12.75">
      <c r="A351" s="124"/>
      <c r="B351" s="124"/>
      <c r="C351" s="124"/>
      <c r="D351" s="124"/>
      <c r="E351" s="124"/>
    </row>
    <row r="352" spans="1:5" ht="12.75">
      <c r="A352" s="124"/>
      <c r="B352" s="124"/>
      <c r="C352" s="124"/>
      <c r="D352" s="124"/>
      <c r="E352" s="124"/>
    </row>
    <row r="353" spans="1:5" ht="12.75">
      <c r="A353" s="124"/>
      <c r="B353" s="124"/>
      <c r="C353" s="124"/>
      <c r="D353" s="124"/>
      <c r="E353" s="124"/>
    </row>
    <row r="354" spans="1:5" ht="12.75">
      <c r="A354" s="135"/>
      <c r="B354" s="135"/>
      <c r="C354" s="135"/>
      <c r="D354" s="135"/>
      <c r="E354" s="135"/>
    </row>
    <row r="355" spans="1:5" ht="12.75">
      <c r="A355" s="135"/>
      <c r="B355" s="135"/>
      <c r="C355" s="135"/>
      <c r="D355" s="135"/>
      <c r="E355" s="135"/>
    </row>
    <row r="356" spans="1:5" ht="12.75">
      <c r="A356" s="135"/>
      <c r="B356" s="135"/>
      <c r="C356" s="135"/>
      <c r="D356" s="135"/>
      <c r="E356" s="135"/>
    </row>
    <row r="357" spans="1:5" ht="12.75">
      <c r="A357" s="124"/>
      <c r="B357" s="124"/>
      <c r="C357" s="124"/>
      <c r="D357" s="124"/>
      <c r="E357" s="124"/>
    </row>
    <row r="358" spans="1:5" ht="12.75">
      <c r="A358" s="124"/>
      <c r="B358" s="124"/>
      <c r="C358" s="124"/>
      <c r="D358" s="124"/>
      <c r="E358" s="124"/>
    </row>
    <row r="359" spans="1:5" ht="12.75">
      <c r="A359" s="124"/>
      <c r="B359" s="124"/>
      <c r="C359" s="124"/>
      <c r="D359" s="124"/>
      <c r="E359" s="124"/>
    </row>
    <row r="360" spans="1:5" ht="12.75">
      <c r="A360" s="135"/>
      <c r="B360" s="135"/>
      <c r="C360" s="135"/>
      <c r="D360" s="135"/>
      <c r="E360" s="135"/>
    </row>
    <row r="361" spans="1:5" ht="12.75">
      <c r="A361" s="135"/>
      <c r="B361" s="135"/>
      <c r="C361" s="135"/>
      <c r="D361" s="135"/>
      <c r="E361" s="135"/>
    </row>
    <row r="362" spans="1:5" ht="12.75">
      <c r="A362" s="135"/>
      <c r="B362" s="135"/>
      <c r="C362" s="135"/>
      <c r="D362" s="135"/>
      <c r="E362" s="135"/>
    </row>
    <row r="363" spans="1:5" ht="12.75">
      <c r="A363" s="124"/>
      <c r="B363" s="124"/>
      <c r="C363" s="124"/>
      <c r="D363" s="124"/>
      <c r="E363" s="124"/>
    </row>
    <row r="364" spans="1:5" ht="12.75">
      <c r="A364" s="124"/>
      <c r="B364" s="124"/>
      <c r="C364" s="124"/>
      <c r="D364" s="124"/>
      <c r="E364" s="124"/>
    </row>
    <row r="365" spans="1:5" ht="12.75">
      <c r="A365" s="124"/>
      <c r="B365" s="124"/>
      <c r="C365" s="124"/>
      <c r="D365" s="124"/>
      <c r="E365" s="124"/>
    </row>
    <row r="366" spans="1:5" ht="12.75">
      <c r="A366" s="135"/>
      <c r="B366" s="135"/>
      <c r="C366" s="135"/>
      <c r="D366" s="135"/>
      <c r="E366" s="135"/>
    </row>
    <row r="367" spans="1:5" ht="12.75">
      <c r="A367" s="135"/>
      <c r="B367" s="135"/>
      <c r="C367" s="135"/>
      <c r="D367" s="135"/>
      <c r="E367" s="135"/>
    </row>
    <row r="368" spans="1:5" ht="12.75">
      <c r="A368" s="135"/>
      <c r="B368" s="135"/>
      <c r="C368" s="135"/>
      <c r="D368" s="135"/>
      <c r="E368" s="135"/>
    </row>
    <row r="369" spans="1:5" ht="12.75">
      <c r="A369" s="124"/>
      <c r="B369" s="124"/>
      <c r="C369" s="124"/>
      <c r="D369" s="124"/>
      <c r="E369" s="124"/>
    </row>
    <row r="370" spans="1:5" ht="12.75">
      <c r="A370" s="124"/>
      <c r="B370" s="124"/>
      <c r="C370" s="124"/>
      <c r="D370" s="124"/>
      <c r="E370" s="124"/>
    </row>
    <row r="371" spans="1:5" ht="12.75">
      <c r="A371" s="124"/>
      <c r="B371" s="124"/>
      <c r="C371" s="124"/>
      <c r="D371" s="124"/>
      <c r="E371" s="124"/>
    </row>
    <row r="372" spans="1:5" ht="12.75">
      <c r="A372" s="135"/>
      <c r="B372" s="135"/>
      <c r="C372" s="135"/>
      <c r="D372" s="135"/>
      <c r="E372" s="135"/>
    </row>
    <row r="373" spans="1:5" ht="12.75">
      <c r="A373" s="135"/>
      <c r="B373" s="135"/>
      <c r="C373" s="135"/>
      <c r="D373" s="135"/>
      <c r="E373" s="135"/>
    </row>
    <row r="374" spans="1:5" ht="12.75">
      <c r="A374" s="135"/>
      <c r="B374" s="135"/>
      <c r="C374" s="135"/>
      <c r="D374" s="135"/>
      <c r="E374" s="135"/>
    </row>
    <row r="375" spans="1:5" ht="12.75">
      <c r="A375" s="124"/>
      <c r="B375" s="124"/>
      <c r="C375" s="124"/>
      <c r="D375" s="124"/>
      <c r="E375" s="124"/>
    </row>
    <row r="376" spans="1:5" ht="12.75">
      <c r="A376" s="124"/>
      <c r="B376" s="124"/>
      <c r="C376" s="124"/>
      <c r="D376" s="124"/>
      <c r="E376" s="124"/>
    </row>
    <row r="377" spans="1:5" ht="12.75">
      <c r="A377" s="124"/>
      <c r="B377" s="124"/>
      <c r="C377" s="124"/>
      <c r="D377" s="124"/>
      <c r="E377" s="124"/>
    </row>
    <row r="378" spans="1:5" ht="12.75">
      <c r="A378" s="135"/>
      <c r="B378" s="135"/>
      <c r="C378" s="135"/>
      <c r="D378" s="135"/>
      <c r="E378" s="135"/>
    </row>
    <row r="379" spans="1:5" ht="12.75">
      <c r="A379" s="135"/>
      <c r="B379" s="135"/>
      <c r="C379" s="135"/>
      <c r="D379" s="135"/>
      <c r="E379" s="135"/>
    </row>
    <row r="380" spans="1:5" ht="12.75">
      <c r="A380" s="135"/>
      <c r="B380" s="135"/>
      <c r="C380" s="135"/>
      <c r="D380" s="135"/>
      <c r="E380" s="135"/>
    </row>
    <row r="381" spans="1:5" ht="12.75">
      <c r="A381" s="124"/>
      <c r="B381" s="124"/>
      <c r="C381" s="124"/>
      <c r="D381" s="124"/>
      <c r="E381" s="124"/>
    </row>
    <row r="382" spans="1:5" ht="12.75">
      <c r="A382" s="124"/>
      <c r="B382" s="124"/>
      <c r="C382" s="124"/>
      <c r="D382" s="124"/>
      <c r="E382" s="124"/>
    </row>
    <row r="383" spans="1:5" ht="12.75">
      <c r="A383" s="124"/>
      <c r="B383" s="124"/>
      <c r="C383" s="124"/>
      <c r="D383" s="124"/>
      <c r="E383" s="124"/>
    </row>
    <row r="384" spans="1:5" ht="12.75">
      <c r="A384" s="135"/>
      <c r="B384" s="135"/>
      <c r="C384" s="135"/>
      <c r="D384" s="135"/>
      <c r="E384" s="135"/>
    </row>
    <row r="385" spans="1:5" ht="12.75">
      <c r="A385" s="135"/>
      <c r="B385" s="135"/>
      <c r="C385" s="135"/>
      <c r="D385" s="135"/>
      <c r="E385" s="135"/>
    </row>
    <row r="386" spans="1:5" ht="12.75">
      <c r="A386" s="135"/>
      <c r="B386" s="135"/>
      <c r="C386" s="135"/>
      <c r="D386" s="135"/>
      <c r="E386" s="135"/>
    </row>
    <row r="387" spans="1:5" ht="12.75">
      <c r="A387" s="124"/>
      <c r="B387" s="124"/>
      <c r="C387" s="124"/>
      <c r="D387" s="124"/>
      <c r="E387" s="124"/>
    </row>
    <row r="388" spans="1:5" ht="12.75">
      <c r="A388" s="124"/>
      <c r="B388" s="124"/>
      <c r="C388" s="124"/>
      <c r="D388" s="124"/>
      <c r="E388" s="124"/>
    </row>
    <row r="389" spans="1:5" ht="12.75">
      <c r="A389" s="124"/>
      <c r="B389" s="124"/>
      <c r="C389" s="124"/>
      <c r="D389" s="124"/>
      <c r="E389" s="124"/>
    </row>
    <row r="390" spans="1:5" ht="12.75">
      <c r="A390" s="135"/>
      <c r="B390" s="135"/>
      <c r="C390" s="135"/>
      <c r="D390" s="135"/>
      <c r="E390" s="135"/>
    </row>
    <row r="391" spans="1:5" ht="12.75">
      <c r="A391" s="135"/>
      <c r="B391" s="135"/>
      <c r="C391" s="135"/>
      <c r="D391" s="135"/>
      <c r="E391" s="135"/>
    </row>
    <row r="392" spans="1:5" ht="12.75">
      <c r="A392" s="135"/>
      <c r="B392" s="135"/>
      <c r="C392" s="135"/>
      <c r="D392" s="135"/>
      <c r="E392" s="135"/>
    </row>
  </sheetData>
  <sheetProtection/>
  <mergeCells count="280">
    <mergeCell ref="G1:AG1"/>
    <mergeCell ref="AH1:AM1"/>
    <mergeCell ref="AH3:AJ4"/>
    <mergeCell ref="AK3:AM4"/>
    <mergeCell ref="AH5:AJ5"/>
    <mergeCell ref="AK5:AM5"/>
    <mergeCell ref="G2:N3"/>
    <mergeCell ref="O2:W3"/>
    <mergeCell ref="AH26:AJ26"/>
    <mergeCell ref="AK26:AM26"/>
    <mergeCell ref="AH28:AJ28"/>
    <mergeCell ref="AK28:AM28"/>
    <mergeCell ref="AH38:AJ38"/>
    <mergeCell ref="AK38:AM38"/>
    <mergeCell ref="AH32:AJ32"/>
    <mergeCell ref="AK32:AM32"/>
    <mergeCell ref="AH29:AJ29"/>
    <mergeCell ref="AK29:AM29"/>
    <mergeCell ref="AH37:AJ37"/>
    <mergeCell ref="AK37:AM37"/>
    <mergeCell ref="AH34:AJ34"/>
    <mergeCell ref="AK34:AM34"/>
    <mergeCell ref="AH35:AJ35"/>
    <mergeCell ref="AH33:AJ33"/>
    <mergeCell ref="AK33:AM33"/>
    <mergeCell ref="AH36:AJ36"/>
    <mergeCell ref="AK36:AM36"/>
    <mergeCell ref="AK35:AM35"/>
    <mergeCell ref="AH30:AJ30"/>
    <mergeCell ref="AK30:AM30"/>
    <mergeCell ref="AH31:AJ31"/>
    <mergeCell ref="AK31:AM31"/>
    <mergeCell ref="AK20:AM20"/>
    <mergeCell ref="AH27:AJ27"/>
    <mergeCell ref="AK27:AM27"/>
    <mergeCell ref="AH22:AJ22"/>
    <mergeCell ref="AK22:AM22"/>
    <mergeCell ref="AH23:AJ23"/>
    <mergeCell ref="AK23:AM23"/>
    <mergeCell ref="AH24:AJ24"/>
    <mergeCell ref="AK24:AM24"/>
    <mergeCell ref="AH25:AJ25"/>
    <mergeCell ref="AK21:AM21"/>
    <mergeCell ref="AK25:AM25"/>
    <mergeCell ref="AH16:AJ16"/>
    <mergeCell ref="AK16:AM16"/>
    <mergeCell ref="AH17:AJ17"/>
    <mergeCell ref="AK17:AM17"/>
    <mergeCell ref="AH18:AJ18"/>
    <mergeCell ref="AK18:AM18"/>
    <mergeCell ref="AH19:AJ19"/>
    <mergeCell ref="AK19:AM19"/>
    <mergeCell ref="AH20:AJ20"/>
    <mergeCell ref="AH7:AJ7"/>
    <mergeCell ref="AK7:AM7"/>
    <mergeCell ref="AH8:AJ8"/>
    <mergeCell ref="AK8:AM8"/>
    <mergeCell ref="AH15:AJ15"/>
    <mergeCell ref="AK15:AM15"/>
    <mergeCell ref="AH10:AJ10"/>
    <mergeCell ref="AK10:AM10"/>
    <mergeCell ref="AH11:AJ11"/>
    <mergeCell ref="AK11:AM11"/>
    <mergeCell ref="AH21:AJ21"/>
    <mergeCell ref="AH2:AM2"/>
    <mergeCell ref="A148:E149"/>
    <mergeCell ref="A124:E125"/>
    <mergeCell ref="A126:E127"/>
    <mergeCell ref="AH6:AJ6"/>
    <mergeCell ref="AG2:AG3"/>
    <mergeCell ref="A112:E113"/>
    <mergeCell ref="A114:E115"/>
    <mergeCell ref="AK6:AM6"/>
    <mergeCell ref="AH9:AJ9"/>
    <mergeCell ref="AK9:AM9"/>
    <mergeCell ref="AK12:AM12"/>
    <mergeCell ref="AH13:AJ13"/>
    <mergeCell ref="AK13:AM13"/>
    <mergeCell ref="AH14:AJ14"/>
    <mergeCell ref="AK14:AM14"/>
    <mergeCell ref="AH12:AJ12"/>
    <mergeCell ref="A104:E105"/>
    <mergeCell ref="A106:E107"/>
    <mergeCell ref="A100:E101"/>
    <mergeCell ref="A102:E103"/>
    <mergeCell ref="A136:E137"/>
    <mergeCell ref="A118:E119"/>
    <mergeCell ref="A120:E121"/>
    <mergeCell ref="A122:E123"/>
    <mergeCell ref="A132:E133"/>
    <mergeCell ref="A138:E139"/>
    <mergeCell ref="A152:E153"/>
    <mergeCell ref="A140:E141"/>
    <mergeCell ref="A142:E143"/>
    <mergeCell ref="A144:E145"/>
    <mergeCell ref="A146:E147"/>
    <mergeCell ref="A150:E151"/>
    <mergeCell ref="A134:E135"/>
    <mergeCell ref="A128:E129"/>
    <mergeCell ref="A130:E131"/>
    <mergeCell ref="A48:E49"/>
    <mergeCell ref="A88:E89"/>
    <mergeCell ref="A90:E91"/>
    <mergeCell ref="A92:E93"/>
    <mergeCell ref="A94:E95"/>
    <mergeCell ref="A116:E117"/>
    <mergeCell ref="A108:E109"/>
    <mergeCell ref="A110:E111"/>
    <mergeCell ref="A96:E97"/>
    <mergeCell ref="A98:E99"/>
    <mergeCell ref="A74:E75"/>
    <mergeCell ref="A68:E69"/>
    <mergeCell ref="A2:E4"/>
    <mergeCell ref="A5:E5"/>
    <mergeCell ref="A76:E77"/>
    <mergeCell ref="A78:E79"/>
    <mergeCell ref="A7:E7"/>
    <mergeCell ref="A34:E35"/>
    <mergeCell ref="A28:E29"/>
    <mergeCell ref="A30:E31"/>
    <mergeCell ref="A26:E27"/>
    <mergeCell ref="A14:E15"/>
    <mergeCell ref="A6:E6"/>
    <mergeCell ref="A22:E23"/>
    <mergeCell ref="A24:E25"/>
    <mergeCell ref="A8:E9"/>
    <mergeCell ref="A10:E11"/>
    <mergeCell ref="A12:E13"/>
    <mergeCell ref="A16:E17"/>
    <mergeCell ref="A18:E19"/>
    <mergeCell ref="A20:E21"/>
    <mergeCell ref="A84:E85"/>
    <mergeCell ref="A86:E87"/>
    <mergeCell ref="A80:E81"/>
    <mergeCell ref="A82:E83"/>
    <mergeCell ref="A72:E73"/>
    <mergeCell ref="A66:E67"/>
    <mergeCell ref="A62:E63"/>
    <mergeCell ref="A64:E65"/>
    <mergeCell ref="A58:E59"/>
    <mergeCell ref="A60:E61"/>
    <mergeCell ref="X2:AA3"/>
    <mergeCell ref="AB2:AF3"/>
    <mergeCell ref="F1:F4"/>
    <mergeCell ref="A44:E45"/>
    <mergeCell ref="A1:E1"/>
    <mergeCell ref="A32:E33"/>
    <mergeCell ref="A387:E389"/>
    <mergeCell ref="A390:E392"/>
    <mergeCell ref="A162:E163"/>
    <mergeCell ref="A164:E165"/>
    <mergeCell ref="A166:E167"/>
    <mergeCell ref="A168:E169"/>
    <mergeCell ref="A170:E171"/>
    <mergeCell ref="A378:E380"/>
    <mergeCell ref="A381:E383"/>
    <mergeCell ref="A258:E260"/>
    <mergeCell ref="A360:E362"/>
    <mergeCell ref="A363:E365"/>
    <mergeCell ref="A384:E386"/>
    <mergeCell ref="A366:E368"/>
    <mergeCell ref="A369:E371"/>
    <mergeCell ref="A372:E374"/>
    <mergeCell ref="A375:E377"/>
    <mergeCell ref="A345:E347"/>
    <mergeCell ref="A348:E350"/>
    <mergeCell ref="A354:E356"/>
    <mergeCell ref="A342:E344"/>
    <mergeCell ref="A357:E359"/>
    <mergeCell ref="A351:E353"/>
    <mergeCell ref="A333:E335"/>
    <mergeCell ref="A339:E341"/>
    <mergeCell ref="A285:E287"/>
    <mergeCell ref="A288:E290"/>
    <mergeCell ref="A312:E314"/>
    <mergeCell ref="A306:E308"/>
    <mergeCell ref="A294:E296"/>
    <mergeCell ref="A336:E338"/>
    <mergeCell ref="A330:E332"/>
    <mergeCell ref="A309:E311"/>
    <mergeCell ref="A249:E251"/>
    <mergeCell ref="A273:E275"/>
    <mergeCell ref="A291:E293"/>
    <mergeCell ref="A297:E299"/>
    <mergeCell ref="A252:E254"/>
    <mergeCell ref="A255:E257"/>
    <mergeCell ref="A207:E209"/>
    <mergeCell ref="A210:E212"/>
    <mergeCell ref="A324:E326"/>
    <mergeCell ref="A228:E230"/>
    <mergeCell ref="A231:E233"/>
    <mergeCell ref="A276:E278"/>
    <mergeCell ref="A279:E281"/>
    <mergeCell ref="A213:E215"/>
    <mergeCell ref="A216:E218"/>
    <mergeCell ref="A225:E227"/>
    <mergeCell ref="A327:E329"/>
    <mergeCell ref="A318:E320"/>
    <mergeCell ref="A270:E272"/>
    <mergeCell ref="A234:E236"/>
    <mergeCell ref="A237:E239"/>
    <mergeCell ref="A264:E266"/>
    <mergeCell ref="A303:E305"/>
    <mergeCell ref="A261:E263"/>
    <mergeCell ref="A282:E284"/>
    <mergeCell ref="A246:E248"/>
    <mergeCell ref="A315:E317"/>
    <mergeCell ref="A240:E242"/>
    <mergeCell ref="A243:E245"/>
    <mergeCell ref="A300:E302"/>
    <mergeCell ref="A183:E185"/>
    <mergeCell ref="A186:E188"/>
    <mergeCell ref="A189:E191"/>
    <mergeCell ref="A192:E194"/>
    <mergeCell ref="A219:E221"/>
    <mergeCell ref="A204:E206"/>
    <mergeCell ref="T22:X23"/>
    <mergeCell ref="T24:X25"/>
    <mergeCell ref="T26:X27"/>
    <mergeCell ref="T28:X29"/>
    <mergeCell ref="A195:E197"/>
    <mergeCell ref="A321:E323"/>
    <mergeCell ref="A198:E200"/>
    <mergeCell ref="A201:E203"/>
    <mergeCell ref="A267:E269"/>
    <mergeCell ref="A222:E224"/>
    <mergeCell ref="A177:E179"/>
    <mergeCell ref="A180:E182"/>
    <mergeCell ref="A154:E155"/>
    <mergeCell ref="A156:E157"/>
    <mergeCell ref="A158:E159"/>
    <mergeCell ref="A160:E161"/>
    <mergeCell ref="A36:E37"/>
    <mergeCell ref="A38:E39"/>
    <mergeCell ref="A40:E41"/>
    <mergeCell ref="A70:E71"/>
    <mergeCell ref="A42:E43"/>
    <mergeCell ref="A56:E57"/>
    <mergeCell ref="A50:E51"/>
    <mergeCell ref="A52:E53"/>
    <mergeCell ref="A46:E47"/>
    <mergeCell ref="A54:E55"/>
    <mergeCell ref="T58:X59"/>
    <mergeCell ref="T60:X61"/>
    <mergeCell ref="T30:X31"/>
    <mergeCell ref="T32:X33"/>
    <mergeCell ref="T34:X35"/>
    <mergeCell ref="T36:X37"/>
    <mergeCell ref="T38:X39"/>
    <mergeCell ref="T40:X41"/>
    <mergeCell ref="T42:X43"/>
    <mergeCell ref="T44:X45"/>
    <mergeCell ref="T46:X47"/>
    <mergeCell ref="T48:X49"/>
    <mergeCell ref="T50:X51"/>
    <mergeCell ref="T52:X53"/>
    <mergeCell ref="T54:X55"/>
    <mergeCell ref="T56:X57"/>
    <mergeCell ref="T90:X91"/>
    <mergeCell ref="T92:X93"/>
    <mergeCell ref="T62:X63"/>
    <mergeCell ref="T64:X65"/>
    <mergeCell ref="T66:X67"/>
    <mergeCell ref="T68:X69"/>
    <mergeCell ref="T70:X71"/>
    <mergeCell ref="T72:X73"/>
    <mergeCell ref="T74:X75"/>
    <mergeCell ref="T76:X77"/>
    <mergeCell ref="T78:X79"/>
    <mergeCell ref="T80:X81"/>
    <mergeCell ref="T82:X83"/>
    <mergeCell ref="T84:X85"/>
    <mergeCell ref="T86:X87"/>
    <mergeCell ref="T88:X89"/>
    <mergeCell ref="T102:X103"/>
    <mergeCell ref="T104:X105"/>
    <mergeCell ref="T94:X95"/>
    <mergeCell ref="T96:X97"/>
    <mergeCell ref="T98:X99"/>
    <mergeCell ref="T100:X101"/>
  </mergeCells>
  <printOptions/>
  <pageMargins left="0.75" right="0.75" top="1" bottom="1" header="0.5" footer="0.5"/>
  <pageSetup orientation="portrait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"/>
  <dimension ref="A1:DY450"/>
  <sheetViews>
    <sheetView showZeros="0" tabSelected="1" view="pageBreakPreview" zoomScale="40" zoomScaleNormal="50" zoomScaleSheetLayoutView="40" zoomScalePageLayoutView="40" workbookViewId="0" topLeftCell="T1">
      <selection activeCell="AG1" sqref="AG1"/>
    </sheetView>
  </sheetViews>
  <sheetFormatPr defaultColWidth="9.140625" defaultRowHeight="12.75"/>
  <cols>
    <col min="1" max="22" width="15.7109375" style="0" customWidth="1"/>
    <col min="23" max="40" width="17.7109375" style="0" customWidth="1"/>
    <col min="43" max="43" width="82.7109375" style="0" customWidth="1"/>
    <col min="44" max="44" width="40.7109375" style="0" customWidth="1"/>
    <col min="45" max="45" width="16.7109375" style="0" bestFit="1" customWidth="1"/>
    <col min="46" max="46" width="12.140625" style="0" bestFit="1" customWidth="1"/>
    <col min="47" max="47" width="36.140625" style="0" customWidth="1"/>
    <col min="48" max="48" width="25.421875" style="0" customWidth="1"/>
    <col min="49" max="49" width="30.8515625" style="0" customWidth="1"/>
    <col min="50" max="50" width="44.28125" style="0" customWidth="1"/>
    <col min="51" max="51" width="19.57421875" style="0" customWidth="1"/>
    <col min="52" max="52" width="54.421875" style="0" customWidth="1"/>
    <col min="53" max="53" width="25.140625" style="0" customWidth="1"/>
    <col min="54" max="54" width="15.7109375" style="0" customWidth="1"/>
    <col min="55" max="55" width="31.8515625" style="0" customWidth="1"/>
    <col min="56" max="56" width="32.140625" style="0" customWidth="1"/>
    <col min="57" max="57" width="33.00390625" style="0" bestFit="1" customWidth="1"/>
    <col min="58" max="58" width="21.7109375" style="0" bestFit="1" customWidth="1"/>
    <col min="59" max="59" width="25.57421875" style="0" bestFit="1" customWidth="1"/>
    <col min="60" max="60" width="39.7109375" style="0" customWidth="1"/>
    <col min="61" max="61" width="46.8515625" style="0" bestFit="1" customWidth="1"/>
    <col min="62" max="62" width="10.421875" style="0" bestFit="1" customWidth="1"/>
    <col min="63" max="63" width="16.57421875" style="0" bestFit="1" customWidth="1"/>
    <col min="64" max="64" width="17.421875" style="0" bestFit="1" customWidth="1"/>
    <col min="65" max="65" width="16.57421875" style="0" bestFit="1" customWidth="1"/>
    <col min="66" max="66" width="29.00390625" style="0" bestFit="1" customWidth="1"/>
    <col min="67" max="67" width="24.140625" style="0" bestFit="1" customWidth="1"/>
    <col min="68" max="68" width="30.7109375" style="0" bestFit="1" customWidth="1"/>
    <col min="69" max="69" width="13.421875" style="0" bestFit="1" customWidth="1"/>
    <col min="70" max="70" width="13.00390625" style="0" customWidth="1"/>
    <col min="71" max="71" width="19.140625" style="0" bestFit="1" customWidth="1"/>
    <col min="72" max="72" width="17.57421875" style="0" bestFit="1" customWidth="1"/>
    <col min="73" max="73" width="11.57421875" style="0" bestFit="1" customWidth="1"/>
    <col min="74" max="75" width="28.28125" style="0" bestFit="1" customWidth="1"/>
    <col min="76" max="76" width="28.421875" style="0" bestFit="1" customWidth="1"/>
    <col min="77" max="77" width="27.28125" style="0" bestFit="1" customWidth="1"/>
    <col min="78" max="78" width="44.8515625" style="0" bestFit="1" customWidth="1"/>
    <col min="79" max="79" width="24.57421875" style="0" bestFit="1" customWidth="1"/>
    <col min="80" max="80" width="38.28125" style="0" bestFit="1" customWidth="1"/>
    <col min="81" max="81" width="24.00390625" style="0" bestFit="1" customWidth="1"/>
    <col min="82" max="82" width="26.7109375" style="0" bestFit="1" customWidth="1"/>
    <col min="83" max="83" width="29.8515625" style="0" bestFit="1" customWidth="1"/>
    <col min="84" max="84" width="14.28125" style="0" bestFit="1" customWidth="1"/>
    <col min="85" max="85" width="18.28125" style="0" bestFit="1" customWidth="1"/>
    <col min="86" max="86" width="44.57421875" style="0" bestFit="1" customWidth="1"/>
    <col min="87" max="88" width="14.7109375" style="0" bestFit="1" customWidth="1"/>
    <col min="89" max="89" width="22.8515625" style="0" bestFit="1" customWidth="1"/>
    <col min="90" max="90" width="37.140625" style="0" bestFit="1" customWidth="1"/>
    <col min="91" max="91" width="32.00390625" style="0" bestFit="1" customWidth="1"/>
    <col min="92" max="92" width="18.421875" style="0" bestFit="1" customWidth="1"/>
    <col min="93" max="93" width="11.57421875" style="0" bestFit="1" customWidth="1"/>
    <col min="94" max="94" width="27.28125" style="0" bestFit="1" customWidth="1"/>
    <col min="95" max="95" width="41.421875" style="0" bestFit="1" customWidth="1"/>
    <col min="96" max="96" width="32.8515625" style="0" bestFit="1" customWidth="1"/>
    <col min="97" max="97" width="32.421875" style="0" customWidth="1"/>
    <col min="98" max="98" width="22.421875" style="0" customWidth="1"/>
    <col min="99" max="99" width="24.421875" style="0" customWidth="1"/>
    <col min="100" max="100" width="26.7109375" style="0" bestFit="1" customWidth="1"/>
    <col min="101" max="101" width="11.7109375" style="0" bestFit="1" customWidth="1"/>
    <col min="102" max="102" width="14.57421875" style="0" customWidth="1"/>
    <col min="103" max="103" width="9.57421875" style="0" bestFit="1" customWidth="1"/>
    <col min="104" max="104" width="15.140625" style="0" bestFit="1" customWidth="1"/>
    <col min="105" max="105" width="27.7109375" style="0" bestFit="1" customWidth="1"/>
    <col min="106" max="106" width="14.421875" style="0" bestFit="1" customWidth="1"/>
    <col min="107" max="107" width="32.28125" style="0" bestFit="1" customWidth="1"/>
    <col min="108" max="108" width="22.00390625" style="0" bestFit="1" customWidth="1"/>
    <col min="109" max="109" width="11.28125" style="0" bestFit="1" customWidth="1"/>
    <col min="110" max="110" width="33.57421875" style="0" bestFit="1" customWidth="1"/>
    <col min="111" max="111" width="31.7109375" style="0" customWidth="1"/>
    <col min="112" max="112" width="12.57421875" style="0" bestFit="1" customWidth="1"/>
    <col min="113" max="113" width="28.28125" style="0" customWidth="1"/>
    <col min="114" max="114" width="22.00390625" style="0" customWidth="1"/>
    <col min="115" max="115" width="21.7109375" style="0" customWidth="1"/>
    <col min="116" max="116" width="17.7109375" style="0" customWidth="1"/>
    <col min="117" max="117" width="14.28125" style="0" bestFit="1" customWidth="1"/>
    <col min="118" max="118" width="17.28125" style="0" customWidth="1"/>
    <col min="119" max="119" width="21.140625" style="0" bestFit="1" customWidth="1"/>
    <col min="120" max="120" width="17.57421875" style="0" bestFit="1" customWidth="1"/>
    <col min="121" max="121" width="41.57421875" style="0" bestFit="1" customWidth="1"/>
    <col min="122" max="122" width="44.00390625" style="0" bestFit="1" customWidth="1"/>
    <col min="123" max="123" width="35.28125" style="0" bestFit="1" customWidth="1"/>
    <col min="124" max="124" width="38.00390625" style="0" bestFit="1" customWidth="1"/>
    <col min="125" max="125" width="29.421875" style="0" bestFit="1" customWidth="1"/>
    <col min="126" max="126" width="39.140625" style="0" bestFit="1" customWidth="1"/>
    <col min="127" max="127" width="30.421875" style="0" bestFit="1" customWidth="1"/>
  </cols>
  <sheetData>
    <row r="1" spans="1:129" ht="27" customHeight="1">
      <c r="A1" s="169" t="s">
        <v>169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9"/>
      <c r="U1" s="266" t="s">
        <v>172</v>
      </c>
      <c r="V1" s="266"/>
      <c r="W1" s="266"/>
      <c r="X1" s="266"/>
      <c r="Y1" s="266"/>
      <c r="Z1" s="266"/>
      <c r="AA1" s="266"/>
      <c r="AB1" s="266"/>
      <c r="AC1" s="266"/>
      <c r="AD1" s="266"/>
      <c r="AE1" s="266"/>
      <c r="AF1" s="4"/>
      <c r="AG1" s="42"/>
      <c r="AH1" s="263" t="s">
        <v>183</v>
      </c>
      <c r="AI1" s="263"/>
      <c r="AJ1" s="263"/>
      <c r="AK1" s="263"/>
      <c r="AL1" s="263"/>
      <c r="AM1" s="263"/>
      <c r="AN1" s="263"/>
      <c r="AQ1" s="61"/>
      <c r="AR1" s="61" t="s">
        <v>13</v>
      </c>
      <c r="AS1" s="61" t="s">
        <v>6</v>
      </c>
      <c r="AT1" s="61" t="s">
        <v>14</v>
      </c>
      <c r="AU1" s="61" t="s">
        <v>285</v>
      </c>
      <c r="AV1" s="61" t="s">
        <v>15</v>
      </c>
      <c r="AW1" s="61" t="s">
        <v>134</v>
      </c>
      <c r="AX1" s="61" t="s">
        <v>17</v>
      </c>
      <c r="AY1" s="61" t="s">
        <v>255</v>
      </c>
      <c r="AZ1" s="61" t="s">
        <v>62</v>
      </c>
      <c r="BA1" s="61" t="s">
        <v>19</v>
      </c>
      <c r="BB1" s="61" t="s">
        <v>63</v>
      </c>
      <c r="BC1" s="61" t="s">
        <v>20</v>
      </c>
      <c r="BD1" s="61" t="s">
        <v>21</v>
      </c>
      <c r="BE1" s="61" t="s">
        <v>22</v>
      </c>
      <c r="BF1" s="61" t="s">
        <v>64</v>
      </c>
      <c r="BG1" s="61" t="s">
        <v>24</v>
      </c>
      <c r="BH1" s="61" t="s">
        <v>25</v>
      </c>
      <c r="BI1" s="61" t="s">
        <v>26</v>
      </c>
      <c r="BJ1" s="61" t="s">
        <v>27</v>
      </c>
      <c r="BK1" s="61" t="s">
        <v>28</v>
      </c>
      <c r="BL1" s="61" t="s">
        <v>135</v>
      </c>
      <c r="BM1" s="61" t="s">
        <v>29</v>
      </c>
      <c r="BN1" s="61" t="s">
        <v>30</v>
      </c>
      <c r="BO1" s="61" t="s">
        <v>31</v>
      </c>
      <c r="BP1" s="61" t="s">
        <v>35</v>
      </c>
      <c r="BQ1" s="61" t="s">
        <v>65</v>
      </c>
      <c r="BR1" s="61" t="s">
        <v>34</v>
      </c>
      <c r="BS1" s="61" t="s">
        <v>33</v>
      </c>
      <c r="BT1" s="61" t="s">
        <v>328</v>
      </c>
      <c r="BU1" s="61" t="s">
        <v>0</v>
      </c>
      <c r="BV1" s="61" t="s">
        <v>37</v>
      </c>
      <c r="BW1" s="61" t="s">
        <v>36</v>
      </c>
      <c r="BX1" s="61" t="s">
        <v>38</v>
      </c>
      <c r="BY1" s="61" t="s">
        <v>39</v>
      </c>
      <c r="BZ1" s="61" t="s">
        <v>40</v>
      </c>
      <c r="CA1" s="61" t="s">
        <v>41</v>
      </c>
      <c r="CB1" s="61" t="s">
        <v>42</v>
      </c>
      <c r="CC1" s="61" t="s">
        <v>243</v>
      </c>
      <c r="CD1" s="61" t="s">
        <v>43</v>
      </c>
      <c r="CE1" s="61" t="s">
        <v>44</v>
      </c>
      <c r="CF1" s="61" t="s">
        <v>45</v>
      </c>
      <c r="CG1" s="61" t="s">
        <v>46</v>
      </c>
      <c r="CH1" s="61" t="s">
        <v>332</v>
      </c>
      <c r="CI1" s="61" t="s">
        <v>47</v>
      </c>
      <c r="CJ1" s="61" t="s">
        <v>48</v>
      </c>
      <c r="CK1" s="61" t="s">
        <v>331</v>
      </c>
      <c r="CL1" s="61" t="s">
        <v>74</v>
      </c>
      <c r="CM1" s="61" t="s">
        <v>50</v>
      </c>
      <c r="CN1" s="61" t="s">
        <v>317</v>
      </c>
      <c r="CO1" s="61" t="s">
        <v>49</v>
      </c>
      <c r="CP1" s="61" t="s">
        <v>51</v>
      </c>
      <c r="CQ1" s="61" t="s">
        <v>214</v>
      </c>
      <c r="CR1" s="61" t="s">
        <v>215</v>
      </c>
      <c r="CS1" s="61" t="s">
        <v>351</v>
      </c>
      <c r="CT1" s="61" t="s">
        <v>344</v>
      </c>
      <c r="CU1" s="61" t="s">
        <v>321</v>
      </c>
      <c r="CV1" s="61" t="s">
        <v>55</v>
      </c>
      <c r="CW1" s="61" t="s">
        <v>54</v>
      </c>
      <c r="CX1" s="61" t="s">
        <v>2</v>
      </c>
      <c r="CY1" s="61" t="s">
        <v>56</v>
      </c>
      <c r="CZ1" s="61" t="s">
        <v>57</v>
      </c>
      <c r="DA1" s="61" t="s">
        <v>58</v>
      </c>
      <c r="DB1" s="61" t="s">
        <v>59</v>
      </c>
      <c r="DC1" s="61" t="s">
        <v>60</v>
      </c>
      <c r="DD1" s="61" t="s">
        <v>348</v>
      </c>
      <c r="DE1" s="61" t="s">
        <v>75</v>
      </c>
      <c r="DF1" s="61" t="s">
        <v>83</v>
      </c>
      <c r="DG1" s="61" t="s">
        <v>350</v>
      </c>
      <c r="DH1" s="61" t="s">
        <v>103</v>
      </c>
      <c r="DI1" s="61" t="s">
        <v>116</v>
      </c>
      <c r="DJ1" s="61" t="s">
        <v>150</v>
      </c>
      <c r="DK1" s="61" t="s">
        <v>123</v>
      </c>
      <c r="DL1" s="61" t="s">
        <v>139</v>
      </c>
      <c r="DM1" s="61" t="s">
        <v>347</v>
      </c>
      <c r="DN1" s="61" t="s">
        <v>316</v>
      </c>
      <c r="DO1" s="61" t="s">
        <v>283</v>
      </c>
      <c r="DP1" s="61" t="s">
        <v>106</v>
      </c>
      <c r="DQ1" s="61" t="s">
        <v>310</v>
      </c>
      <c r="DR1" s="61" t="s">
        <v>203</v>
      </c>
      <c r="DS1" s="61" t="s">
        <v>204</v>
      </c>
      <c r="DT1" s="61" t="s">
        <v>205</v>
      </c>
      <c r="DU1" s="61" t="s">
        <v>206</v>
      </c>
      <c r="DV1" s="61" t="s">
        <v>207</v>
      </c>
      <c r="DW1" s="61" t="s">
        <v>208</v>
      </c>
      <c r="DX1" s="61" t="s">
        <v>253</v>
      </c>
      <c r="DY1" s="61"/>
    </row>
    <row r="2" spans="1:129" ht="21" customHeight="1">
      <c r="A2" s="177" t="s">
        <v>170</v>
      </c>
      <c r="B2" s="178"/>
      <c r="C2" s="262" t="s">
        <v>171</v>
      </c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10"/>
      <c r="U2" s="266"/>
      <c r="V2" s="266"/>
      <c r="W2" s="266"/>
      <c r="X2" s="266"/>
      <c r="Y2" s="266"/>
      <c r="Z2" s="266"/>
      <c r="AA2" s="266"/>
      <c r="AB2" s="266"/>
      <c r="AC2" s="266"/>
      <c r="AD2" s="266"/>
      <c r="AE2" s="266"/>
      <c r="AF2" s="16"/>
      <c r="AG2" s="264" t="s">
        <v>184</v>
      </c>
      <c r="AH2" s="265"/>
      <c r="AI2" s="265"/>
      <c r="AJ2" s="265"/>
      <c r="AK2" s="265"/>
      <c r="AL2" s="265"/>
      <c r="AM2" s="265"/>
      <c r="AN2" s="265"/>
      <c r="AP2">
        <v>1</v>
      </c>
      <c r="AQ2" s="62" t="s">
        <v>61</v>
      </c>
      <c r="AR2" s="61"/>
      <c r="AS2" s="61"/>
      <c r="AT2" s="61"/>
      <c r="AU2" s="61"/>
      <c r="AV2" s="61"/>
      <c r="AW2" s="61"/>
      <c r="AX2" s="61"/>
      <c r="AY2" s="61"/>
      <c r="AZ2" s="61">
        <v>6</v>
      </c>
      <c r="BA2" s="61"/>
      <c r="BB2" s="61"/>
      <c r="BC2" s="61">
        <v>4</v>
      </c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>
        <v>78</v>
      </c>
      <c r="CI2" s="61">
        <v>15</v>
      </c>
      <c r="CJ2" s="61">
        <v>15</v>
      </c>
      <c r="CK2" s="61"/>
      <c r="CL2" s="61"/>
      <c r="CM2" s="61">
        <v>2</v>
      </c>
      <c r="CN2" s="61"/>
      <c r="CO2" s="61">
        <v>60</v>
      </c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>
        <v>300</v>
      </c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>
        <v>100</v>
      </c>
      <c r="DS2" s="61">
        <v>50</v>
      </c>
      <c r="DT2" s="61">
        <v>150</v>
      </c>
      <c r="DU2" s="61">
        <v>100</v>
      </c>
      <c r="DV2" s="61">
        <v>80</v>
      </c>
      <c r="DW2" s="61">
        <v>50</v>
      </c>
      <c r="DX2" s="61">
        <v>2</v>
      </c>
      <c r="DY2" s="61"/>
    </row>
    <row r="3" spans="1:129" ht="15" customHeight="1">
      <c r="A3" s="179"/>
      <c r="B3" s="180"/>
      <c r="C3" s="262"/>
      <c r="D3" s="262"/>
      <c r="E3" s="262"/>
      <c r="F3" s="262"/>
      <c r="G3" s="262"/>
      <c r="H3" s="262"/>
      <c r="I3" s="262"/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10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6"/>
      <c r="AG3" s="6"/>
      <c r="AH3" s="6"/>
      <c r="AI3" s="6"/>
      <c r="AJ3" s="6"/>
      <c r="AK3" s="17"/>
      <c r="AL3" s="17"/>
      <c r="AP3">
        <v>2</v>
      </c>
      <c r="AQ3" s="62" t="s">
        <v>66</v>
      </c>
      <c r="AR3" s="61"/>
      <c r="AS3" s="61"/>
      <c r="AT3" s="61"/>
      <c r="AU3" s="61"/>
      <c r="AV3" s="61"/>
      <c r="AW3" s="61"/>
      <c r="AX3" s="61"/>
      <c r="AY3" s="61"/>
      <c r="AZ3" s="61">
        <v>6</v>
      </c>
      <c r="BA3" s="61"/>
      <c r="BB3" s="61"/>
      <c r="BC3" s="61">
        <v>4</v>
      </c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>
        <v>40</v>
      </c>
      <c r="CH3" s="61"/>
      <c r="CI3" s="61">
        <v>14</v>
      </c>
      <c r="CJ3" s="61">
        <v>15</v>
      </c>
      <c r="CK3" s="61"/>
      <c r="CL3" s="61"/>
      <c r="CM3" s="61">
        <v>1</v>
      </c>
      <c r="CN3" s="61"/>
      <c r="CO3" s="61">
        <v>60</v>
      </c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>
        <v>300</v>
      </c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>
        <v>25</v>
      </c>
      <c r="DR3" s="61"/>
      <c r="DS3" s="61"/>
      <c r="DT3" s="61"/>
      <c r="DU3" s="61"/>
      <c r="DV3" s="61"/>
      <c r="DW3" s="61"/>
      <c r="DX3" s="61"/>
      <c r="DY3" s="61"/>
    </row>
    <row r="4" spans="1:129" ht="15" customHeight="1">
      <c r="A4" s="179"/>
      <c r="B4" s="180"/>
      <c r="C4" s="262"/>
      <c r="D4" s="262"/>
      <c r="E4" s="262"/>
      <c r="F4" s="262" t="s">
        <v>194</v>
      </c>
      <c r="G4" s="262"/>
      <c r="H4" s="262" t="s">
        <v>195</v>
      </c>
      <c r="I4" s="262"/>
      <c r="J4" s="262"/>
      <c r="K4" s="262" t="s">
        <v>196</v>
      </c>
      <c r="L4" s="262"/>
      <c r="M4" s="262"/>
      <c r="N4" s="262" t="s">
        <v>197</v>
      </c>
      <c r="O4" s="262"/>
      <c r="P4" s="262"/>
      <c r="Q4" s="262"/>
      <c r="R4" s="262"/>
      <c r="S4" s="262"/>
      <c r="T4" s="6"/>
      <c r="U4" s="218" t="s">
        <v>173</v>
      </c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67" t="s">
        <v>315</v>
      </c>
      <c r="AG4" s="267"/>
      <c r="AH4" s="267"/>
      <c r="AI4" s="267"/>
      <c r="AJ4" s="267"/>
      <c r="AK4" s="267"/>
      <c r="AL4" s="267"/>
      <c r="AM4" s="267"/>
      <c r="AN4" s="267"/>
      <c r="AP4">
        <v>3</v>
      </c>
      <c r="AQ4" s="62" t="s">
        <v>67</v>
      </c>
      <c r="AR4" s="61"/>
      <c r="AS4" s="61"/>
      <c r="AT4" s="61"/>
      <c r="AU4" s="61"/>
      <c r="AV4" s="61"/>
      <c r="AW4" s="61"/>
      <c r="AX4" s="61"/>
      <c r="AY4" s="61"/>
      <c r="AZ4" s="61">
        <v>7</v>
      </c>
      <c r="BA4" s="61"/>
      <c r="BB4" s="61"/>
      <c r="BC4" s="61">
        <v>7.5</v>
      </c>
      <c r="BD4" s="61"/>
      <c r="BE4" s="61"/>
      <c r="BF4" s="61"/>
      <c r="BG4" s="61"/>
      <c r="BH4" s="61"/>
      <c r="BI4" s="61"/>
      <c r="BJ4" s="61"/>
      <c r="BK4" s="61"/>
      <c r="BL4" s="61">
        <v>1</v>
      </c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>
        <v>3</v>
      </c>
      <c r="BX4" s="61"/>
      <c r="BY4" s="61"/>
      <c r="BZ4" s="61"/>
      <c r="CA4" s="61"/>
      <c r="CB4" s="61"/>
      <c r="CC4" s="61"/>
      <c r="CD4" s="61"/>
      <c r="CE4" s="61"/>
      <c r="CF4" s="61"/>
      <c r="CG4" s="61">
        <v>65</v>
      </c>
      <c r="CH4" s="61">
        <v>30</v>
      </c>
      <c r="CI4" s="61">
        <v>10</v>
      </c>
      <c r="CJ4" s="61">
        <v>15.5</v>
      </c>
      <c r="CK4" s="61"/>
      <c r="CL4" s="61"/>
      <c r="CM4" s="61">
        <v>2</v>
      </c>
      <c r="CN4" s="61"/>
      <c r="CO4" s="61">
        <v>45</v>
      </c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>
        <v>300</v>
      </c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</row>
    <row r="5" spans="1:129" ht="15" customHeight="1">
      <c r="A5" s="181"/>
      <c r="B5" s="18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6"/>
      <c r="U5" s="218"/>
      <c r="V5" s="218"/>
      <c r="W5" s="218"/>
      <c r="X5" s="218"/>
      <c r="Y5" s="218"/>
      <c r="Z5" s="218"/>
      <c r="AA5" s="218"/>
      <c r="AB5" s="218"/>
      <c r="AC5" s="218"/>
      <c r="AD5" s="218"/>
      <c r="AE5" s="218"/>
      <c r="AF5" s="267"/>
      <c r="AG5" s="267"/>
      <c r="AH5" s="267"/>
      <c r="AI5" s="267"/>
      <c r="AJ5" s="267"/>
      <c r="AK5" s="267"/>
      <c r="AL5" s="267"/>
      <c r="AM5" s="267"/>
      <c r="AN5" s="267"/>
      <c r="AP5">
        <v>4</v>
      </c>
      <c r="AQ5" s="62" t="s">
        <v>68</v>
      </c>
      <c r="AR5" s="61"/>
      <c r="AS5" s="61"/>
      <c r="AT5" s="61"/>
      <c r="AU5" s="61"/>
      <c r="AV5" s="61"/>
      <c r="AW5" s="61"/>
      <c r="AX5" s="61"/>
      <c r="AY5" s="61"/>
      <c r="AZ5" s="61">
        <v>6</v>
      </c>
      <c r="BA5" s="61"/>
      <c r="BB5" s="61"/>
      <c r="BC5" s="61">
        <v>6</v>
      </c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>
        <v>6</v>
      </c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>
        <v>40</v>
      </c>
      <c r="CH5" s="61">
        <v>45</v>
      </c>
      <c r="CI5" s="61">
        <v>14</v>
      </c>
      <c r="CJ5" s="61">
        <v>15</v>
      </c>
      <c r="CK5" s="61"/>
      <c r="CL5" s="61"/>
      <c r="CM5" s="61">
        <v>2</v>
      </c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>
        <v>300</v>
      </c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</row>
    <row r="6" spans="1:129" ht="24.75" customHeight="1">
      <c r="A6" s="183"/>
      <c r="B6" s="184"/>
      <c r="C6" s="163" t="s">
        <v>191</v>
      </c>
      <c r="D6" s="163"/>
      <c r="E6" s="163"/>
      <c r="F6" s="230">
        <f>AVERAGE(завтракл,обідл,ужинл)</f>
        <v>16</v>
      </c>
      <c r="G6" s="231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6"/>
      <c r="U6" s="218" t="s">
        <v>356</v>
      </c>
      <c r="V6" s="218"/>
      <c r="W6" s="218"/>
      <c r="X6" s="218"/>
      <c r="Y6" s="218"/>
      <c r="Z6" s="218"/>
      <c r="AA6" s="218"/>
      <c r="AB6" s="218"/>
      <c r="AC6" s="218"/>
      <c r="AD6" s="218"/>
      <c r="AE6" s="218"/>
      <c r="AF6" s="6"/>
      <c r="AG6" s="6"/>
      <c r="AH6" s="18"/>
      <c r="AI6" s="6"/>
      <c r="AJ6" s="5"/>
      <c r="AK6" s="17"/>
      <c r="AL6" s="17"/>
      <c r="AP6">
        <v>5</v>
      </c>
      <c r="AQ6" s="62" t="s">
        <v>69</v>
      </c>
      <c r="AR6" s="61"/>
      <c r="AS6" s="61"/>
      <c r="AT6" s="61"/>
      <c r="AU6" s="61"/>
      <c r="AV6" s="61"/>
      <c r="AW6" s="61"/>
      <c r="AX6" s="61"/>
      <c r="AY6" s="61"/>
      <c r="AZ6" s="61">
        <v>6</v>
      </c>
      <c r="BA6" s="61"/>
      <c r="BB6" s="61"/>
      <c r="BC6" s="61">
        <v>6</v>
      </c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>
        <v>15</v>
      </c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>
        <v>100</v>
      </c>
      <c r="CH6" s="61"/>
      <c r="CI6" s="61">
        <v>15</v>
      </c>
      <c r="CJ6" s="61">
        <v>15</v>
      </c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>
        <v>300</v>
      </c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</row>
    <row r="7" spans="1:129" ht="24.75" customHeight="1">
      <c r="A7" s="185"/>
      <c r="B7" s="186"/>
      <c r="C7" s="163"/>
      <c r="D7" s="163"/>
      <c r="E7" s="163"/>
      <c r="F7" s="232"/>
      <c r="G7" s="233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6"/>
      <c r="U7" s="218"/>
      <c r="V7" s="218"/>
      <c r="W7" s="218"/>
      <c r="X7" s="218"/>
      <c r="Y7" s="218"/>
      <c r="Z7" s="218"/>
      <c r="AA7" s="218"/>
      <c r="AB7" s="218"/>
      <c r="AC7" s="218"/>
      <c r="AD7" s="218"/>
      <c r="AE7" s="218"/>
      <c r="AF7" s="219" t="s">
        <v>357</v>
      </c>
      <c r="AG7" s="219"/>
      <c r="AH7" s="219"/>
      <c r="AI7" s="219"/>
      <c r="AJ7" s="219"/>
      <c r="AK7" s="219"/>
      <c r="AL7" s="219"/>
      <c r="AM7" s="219"/>
      <c r="AN7" s="219"/>
      <c r="AP7">
        <v>6</v>
      </c>
      <c r="AQ7" s="62" t="s">
        <v>70</v>
      </c>
      <c r="AR7" s="61"/>
      <c r="AS7" s="61">
        <v>40</v>
      </c>
      <c r="AT7" s="61"/>
      <c r="AU7" s="61"/>
      <c r="AV7" s="61"/>
      <c r="AW7" s="61"/>
      <c r="AX7" s="61"/>
      <c r="AY7" s="61"/>
      <c r="AZ7" s="61">
        <v>3</v>
      </c>
      <c r="BA7" s="61"/>
      <c r="BB7" s="61"/>
      <c r="BC7" s="61">
        <v>3</v>
      </c>
      <c r="BD7" s="61"/>
      <c r="BE7" s="61"/>
      <c r="BF7" s="61"/>
      <c r="BG7" s="61"/>
      <c r="BH7" s="61"/>
      <c r="BI7" s="61"/>
      <c r="BJ7" s="61">
        <v>0.08</v>
      </c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>
        <v>162</v>
      </c>
      <c r="CH7" s="61"/>
      <c r="CI7" s="61">
        <v>19</v>
      </c>
      <c r="CJ7" s="61">
        <v>15</v>
      </c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 t="s">
        <v>292</v>
      </c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</row>
    <row r="8" spans="1:129" ht="24.75" customHeight="1">
      <c r="A8" s="185"/>
      <c r="B8" s="186"/>
      <c r="C8" s="163"/>
      <c r="D8" s="163"/>
      <c r="E8" s="163"/>
      <c r="F8" s="234"/>
      <c r="G8" s="235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4"/>
      <c r="U8" s="14"/>
      <c r="V8" s="14"/>
      <c r="W8" s="14"/>
      <c r="X8" s="14"/>
      <c r="Y8" s="6"/>
      <c r="Z8" s="10"/>
      <c r="AA8" s="10"/>
      <c r="AB8" s="10"/>
      <c r="AC8" s="10"/>
      <c r="AD8" s="10"/>
      <c r="AE8" s="10"/>
      <c r="AF8" s="10"/>
      <c r="AG8" s="10"/>
      <c r="AH8" s="18"/>
      <c r="AI8" s="6"/>
      <c r="AJ8" s="10"/>
      <c r="AK8" s="17"/>
      <c r="AL8" s="17"/>
      <c r="AP8">
        <v>7</v>
      </c>
      <c r="AQ8" s="62" t="s">
        <v>71</v>
      </c>
      <c r="AR8" s="61"/>
      <c r="AS8" s="61"/>
      <c r="AT8" s="61"/>
      <c r="AU8" s="61"/>
      <c r="AV8" s="61"/>
      <c r="AW8" s="61"/>
      <c r="AX8" s="61"/>
      <c r="AY8" s="61"/>
      <c r="AZ8" s="61">
        <v>6</v>
      </c>
      <c r="BA8" s="61"/>
      <c r="BB8" s="61"/>
      <c r="BC8" s="61">
        <v>6</v>
      </c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>
        <v>80</v>
      </c>
      <c r="CH8" s="61">
        <v>30</v>
      </c>
      <c r="CI8" s="61">
        <v>14</v>
      </c>
      <c r="CJ8" s="61">
        <v>15</v>
      </c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>
        <v>300</v>
      </c>
      <c r="DF8" s="61"/>
      <c r="DG8" s="61">
        <v>15</v>
      </c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</row>
    <row r="9" spans="1:129" ht="24.75" customHeight="1">
      <c r="A9" s="185"/>
      <c r="B9" s="186"/>
      <c r="C9" s="243" t="s">
        <v>192</v>
      </c>
      <c r="D9" s="243"/>
      <c r="E9" s="243"/>
      <c r="F9" s="244"/>
      <c r="G9" s="244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4"/>
      <c r="U9" s="14"/>
      <c r="V9" s="14"/>
      <c r="W9" s="14"/>
      <c r="X9" s="165" t="s">
        <v>216</v>
      </c>
      <c r="Y9" s="165"/>
      <c r="Z9" s="165"/>
      <c r="AA9" s="165"/>
      <c r="AB9" s="165"/>
      <c r="AC9" s="165"/>
      <c r="AD9" s="6"/>
      <c r="AE9" s="164" t="s">
        <v>189</v>
      </c>
      <c r="AF9" s="164"/>
      <c r="AG9" s="164" t="s">
        <v>188</v>
      </c>
      <c r="AH9" s="164"/>
      <c r="AI9" s="164" t="s">
        <v>187</v>
      </c>
      <c r="AJ9" s="164"/>
      <c r="AK9" s="164" t="s">
        <v>186</v>
      </c>
      <c r="AL9" s="164"/>
      <c r="AM9" s="164" t="s">
        <v>185</v>
      </c>
      <c r="AN9" s="164"/>
      <c r="AP9">
        <v>8</v>
      </c>
      <c r="AQ9" s="62" t="s">
        <v>72</v>
      </c>
      <c r="AR9" s="61"/>
      <c r="AS9" s="61"/>
      <c r="AT9" s="61"/>
      <c r="AU9" s="61"/>
      <c r="AV9" s="61"/>
      <c r="AW9" s="61"/>
      <c r="AX9" s="61"/>
      <c r="AY9" s="61"/>
      <c r="AZ9" s="61">
        <v>6</v>
      </c>
      <c r="BA9" s="61"/>
      <c r="BB9" s="61"/>
      <c r="BC9" s="61">
        <v>6</v>
      </c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>
        <v>6</v>
      </c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>
        <v>120</v>
      </c>
      <c r="CH9" s="61"/>
      <c r="CI9" s="61">
        <v>7</v>
      </c>
      <c r="CJ9" s="61">
        <v>15</v>
      </c>
      <c r="CK9" s="61"/>
      <c r="CL9" s="61">
        <v>20</v>
      </c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>
        <v>300</v>
      </c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</row>
    <row r="10" spans="1:129" ht="6" customHeight="1">
      <c r="A10" s="185"/>
      <c r="B10" s="186"/>
      <c r="C10" s="243"/>
      <c r="D10" s="243"/>
      <c r="E10" s="243"/>
      <c r="F10" s="244"/>
      <c r="G10" s="244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4"/>
      <c r="U10" s="14"/>
      <c r="V10" s="14"/>
      <c r="W10" s="14"/>
      <c r="X10" s="165"/>
      <c r="Y10" s="165"/>
      <c r="Z10" s="165"/>
      <c r="AA10" s="165"/>
      <c r="AB10" s="165"/>
      <c r="AC10" s="165"/>
      <c r="AD10" s="10"/>
      <c r="AE10" s="164"/>
      <c r="AF10" s="164"/>
      <c r="AG10" s="164"/>
      <c r="AH10" s="164"/>
      <c r="AI10" s="164"/>
      <c r="AJ10" s="164"/>
      <c r="AK10" s="164"/>
      <c r="AL10" s="164"/>
      <c r="AM10" s="164"/>
      <c r="AN10" s="164"/>
      <c r="AP10">
        <v>9</v>
      </c>
      <c r="AQ10" s="62" t="s">
        <v>73</v>
      </c>
      <c r="AR10" s="61"/>
      <c r="AS10" s="61"/>
      <c r="AT10" s="61"/>
      <c r="AU10" s="61"/>
      <c r="AV10" s="61"/>
      <c r="AW10" s="61"/>
      <c r="AX10" s="61"/>
      <c r="AY10" s="61"/>
      <c r="AZ10" s="61">
        <v>6</v>
      </c>
      <c r="BA10" s="61"/>
      <c r="BB10" s="61"/>
      <c r="BC10" s="61">
        <v>6</v>
      </c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>
        <v>120</v>
      </c>
      <c r="CH10" s="61">
        <v>30</v>
      </c>
      <c r="CI10" s="61">
        <v>15</v>
      </c>
      <c r="CJ10" s="61">
        <v>15</v>
      </c>
      <c r="CK10" s="61"/>
      <c r="CL10" s="61">
        <v>21</v>
      </c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>
        <v>300</v>
      </c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</row>
    <row r="11" spans="1:129" ht="24.75" customHeight="1">
      <c r="A11" s="185"/>
      <c r="B11" s="186"/>
      <c r="C11" s="243"/>
      <c r="D11" s="243"/>
      <c r="E11" s="243"/>
      <c r="F11" s="244"/>
      <c r="G11" s="244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4"/>
      <c r="U11" s="14"/>
      <c r="V11" s="14"/>
      <c r="W11" s="14"/>
      <c r="X11" s="165"/>
      <c r="Y11" s="165"/>
      <c r="Z11" s="165"/>
      <c r="AA11" s="165"/>
      <c r="AB11" s="165"/>
      <c r="AC11" s="165"/>
      <c r="AD11" s="5"/>
      <c r="AE11" s="164"/>
      <c r="AF11" s="164"/>
      <c r="AG11" s="164"/>
      <c r="AH11" s="164"/>
      <c r="AI11" s="164"/>
      <c r="AJ11" s="164"/>
      <c r="AK11" s="164"/>
      <c r="AL11" s="164"/>
      <c r="AM11" s="164"/>
      <c r="AN11" s="164"/>
      <c r="AP11">
        <v>10</v>
      </c>
      <c r="AQ11" s="62" t="s">
        <v>76</v>
      </c>
      <c r="AR11" s="61"/>
      <c r="AS11" s="61"/>
      <c r="AT11" s="61"/>
      <c r="AU11" s="61"/>
      <c r="AV11" s="61"/>
      <c r="AW11" s="61"/>
      <c r="AX11" s="61"/>
      <c r="AY11" s="61"/>
      <c r="AZ11" s="61">
        <v>10</v>
      </c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>
        <v>48</v>
      </c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>
        <v>100</v>
      </c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</row>
    <row r="12" spans="1:129" ht="16.5" customHeight="1">
      <c r="A12" s="185"/>
      <c r="B12" s="186"/>
      <c r="C12" s="243"/>
      <c r="D12" s="243"/>
      <c r="E12" s="243"/>
      <c r="F12" s="244"/>
      <c r="G12" s="244"/>
      <c r="H12" s="135"/>
      <c r="I12" s="135"/>
      <c r="J12" s="135"/>
      <c r="K12" s="135"/>
      <c r="L12" s="135"/>
      <c r="M12" s="135"/>
      <c r="N12" s="135"/>
      <c r="O12" s="135"/>
      <c r="P12" s="135"/>
      <c r="Q12" s="135"/>
      <c r="R12" s="135"/>
      <c r="S12" s="135"/>
      <c r="T12" s="14"/>
      <c r="U12" s="14"/>
      <c r="V12" s="14"/>
      <c r="W12" s="14"/>
      <c r="X12" s="14"/>
      <c r="Y12" s="6"/>
      <c r="Z12" s="10"/>
      <c r="AA12" s="10"/>
      <c r="AB12" s="10"/>
      <c r="AC12" s="10"/>
      <c r="AD12" s="10"/>
      <c r="AE12" s="10"/>
      <c r="AF12" s="10"/>
      <c r="AG12" s="10"/>
      <c r="AH12" s="5"/>
      <c r="AI12" s="6"/>
      <c r="AJ12" s="10"/>
      <c r="AK12" s="17"/>
      <c r="AL12" s="17"/>
      <c r="AP12">
        <v>11</v>
      </c>
      <c r="AQ12" s="62" t="s">
        <v>77</v>
      </c>
      <c r="AR12" s="61"/>
      <c r="AS12" s="61"/>
      <c r="AT12" s="61"/>
      <c r="AU12" s="61"/>
      <c r="AV12" s="61"/>
      <c r="AW12" s="61"/>
      <c r="AX12" s="61"/>
      <c r="AY12" s="61"/>
      <c r="AZ12" s="61">
        <v>5</v>
      </c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>
        <v>25</v>
      </c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>
        <v>100</v>
      </c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</row>
    <row r="13" spans="1:129" ht="24.75" customHeight="1">
      <c r="A13" s="185"/>
      <c r="B13" s="186"/>
      <c r="C13" s="243" t="s">
        <v>193</v>
      </c>
      <c r="D13" s="243"/>
      <c r="E13" s="243"/>
      <c r="F13" s="238">
        <f>AM181/сред</f>
        <v>97.51741</v>
      </c>
      <c r="G13" s="238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9"/>
      <c r="U13" s="19"/>
      <c r="V13" s="19"/>
      <c r="W13" s="19"/>
      <c r="X13" s="19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17"/>
      <c r="AL13" s="17"/>
      <c r="AP13">
        <v>12</v>
      </c>
      <c r="AQ13" s="62" t="s">
        <v>78</v>
      </c>
      <c r="AR13" s="61"/>
      <c r="AS13" s="61"/>
      <c r="AT13" s="61"/>
      <c r="AU13" s="61"/>
      <c r="AV13" s="61"/>
      <c r="AW13" s="61"/>
      <c r="AX13" s="61"/>
      <c r="AY13" s="61"/>
      <c r="AZ13" s="61">
        <v>5</v>
      </c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>
        <v>22</v>
      </c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>
        <v>100</v>
      </c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</row>
    <row r="14" spans="1:129" ht="36" customHeight="1">
      <c r="A14" s="185"/>
      <c r="B14" s="186"/>
      <c r="C14" s="243"/>
      <c r="D14" s="243"/>
      <c r="E14" s="243"/>
      <c r="F14" s="238"/>
      <c r="G14" s="238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4"/>
      <c r="U14" s="14"/>
      <c r="V14" s="14"/>
      <c r="W14" s="14"/>
      <c r="X14" s="14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17"/>
      <c r="AL14" s="17"/>
      <c r="AP14">
        <v>13</v>
      </c>
      <c r="AQ14" s="62" t="s">
        <v>79</v>
      </c>
      <c r="AR14" s="61"/>
      <c r="AS14" s="61"/>
      <c r="AT14" s="61"/>
      <c r="AU14" s="61"/>
      <c r="AV14" s="61"/>
      <c r="AW14" s="61"/>
      <c r="AX14" s="61"/>
      <c r="AY14" s="61"/>
      <c r="AZ14" s="61">
        <v>5</v>
      </c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>
        <v>100</v>
      </c>
      <c r="DF14" s="61"/>
      <c r="DG14" s="61"/>
      <c r="DH14" s="61"/>
      <c r="DI14" s="61"/>
      <c r="DJ14" s="61">
        <v>22</v>
      </c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</row>
    <row r="15" spans="1:129" ht="20.25" customHeight="1" hidden="1">
      <c r="A15" s="185"/>
      <c r="B15" s="186"/>
      <c r="C15" s="243"/>
      <c r="D15" s="243"/>
      <c r="E15" s="243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12"/>
      <c r="U15" s="13"/>
      <c r="V15" s="11"/>
      <c r="W15" s="12"/>
      <c r="X15" s="13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P15">
        <v>14</v>
      </c>
      <c r="AQ15" s="62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>
        <v>100</v>
      </c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</row>
    <row r="16" spans="1:129" ht="20.25" customHeight="1" hidden="1">
      <c r="A16" s="185"/>
      <c r="B16" s="186"/>
      <c r="C16" s="243"/>
      <c r="D16" s="243"/>
      <c r="E16" s="24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7"/>
      <c r="U16" s="3"/>
      <c r="V16" s="8"/>
      <c r="W16" s="7"/>
      <c r="X16" s="3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P16">
        <v>15</v>
      </c>
      <c r="AQ16" s="62" t="s">
        <v>80</v>
      </c>
      <c r="AR16" s="61"/>
      <c r="AS16" s="61"/>
      <c r="AT16" s="61"/>
      <c r="AU16" s="61"/>
      <c r="AV16" s="61"/>
      <c r="AW16" s="61"/>
      <c r="AX16" s="61"/>
      <c r="AY16" s="61"/>
      <c r="AZ16" s="61">
        <v>5</v>
      </c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>
        <v>25</v>
      </c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>
        <v>100</v>
      </c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</row>
    <row r="17" spans="1:129" ht="20.25">
      <c r="A17" s="15"/>
      <c r="B17" s="23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P17">
        <v>16</v>
      </c>
      <c r="AQ17" s="62" t="s">
        <v>81</v>
      </c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>
        <v>30</v>
      </c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>
        <v>30</v>
      </c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</row>
    <row r="18" spans="1:129" ht="19.5" customHeight="1">
      <c r="A18" s="221" t="s">
        <v>179</v>
      </c>
      <c r="B18" s="250"/>
      <c r="C18" s="222"/>
      <c r="D18" s="222"/>
      <c r="E18" s="223"/>
      <c r="F18" s="187" t="s">
        <v>180</v>
      </c>
      <c r="G18" s="251" t="s">
        <v>201</v>
      </c>
      <c r="H18" s="252"/>
      <c r="I18" s="252"/>
      <c r="J18" s="252"/>
      <c r="K18" s="25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  <c r="AC18" s="252"/>
      <c r="AD18" s="252"/>
      <c r="AE18" s="252"/>
      <c r="AF18" s="252"/>
      <c r="AG18" s="22"/>
      <c r="AH18" s="236" t="s">
        <v>1</v>
      </c>
      <c r="AI18" s="245" t="s">
        <v>286</v>
      </c>
      <c r="AJ18" s="246"/>
      <c r="AK18" s="221" t="s">
        <v>190</v>
      </c>
      <c r="AL18" s="222"/>
      <c r="AM18" s="222"/>
      <c r="AN18" s="223"/>
      <c r="AP18">
        <v>17</v>
      </c>
      <c r="AQ18" s="62" t="s">
        <v>10</v>
      </c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>
        <v>30</v>
      </c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>
        <v>30</v>
      </c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</row>
    <row r="19" spans="1:129" ht="19.5" customHeight="1">
      <c r="A19" s="253" t="s">
        <v>178</v>
      </c>
      <c r="B19" s="254"/>
      <c r="C19" s="254"/>
      <c r="D19" s="254"/>
      <c r="E19" s="255"/>
      <c r="F19" s="188"/>
      <c r="G19" s="170" t="s">
        <v>174</v>
      </c>
      <c r="H19" s="171"/>
      <c r="I19" s="171"/>
      <c r="J19" s="171"/>
      <c r="K19" s="171"/>
      <c r="L19" s="171"/>
      <c r="M19" s="171"/>
      <c r="N19" s="172"/>
      <c r="O19" s="170" t="s">
        <v>175</v>
      </c>
      <c r="P19" s="171"/>
      <c r="Q19" s="171"/>
      <c r="R19" s="171"/>
      <c r="S19" s="171"/>
      <c r="T19" s="171"/>
      <c r="U19" s="171"/>
      <c r="V19" s="172"/>
      <c r="W19" s="176" t="s">
        <v>176</v>
      </c>
      <c r="X19" s="176"/>
      <c r="Y19" s="176"/>
      <c r="Z19" s="171" t="s">
        <v>177</v>
      </c>
      <c r="AA19" s="171"/>
      <c r="AB19" s="171"/>
      <c r="AC19" s="171"/>
      <c r="AD19" s="171"/>
      <c r="AE19" s="171"/>
      <c r="AF19" s="171"/>
      <c r="AG19" s="171"/>
      <c r="AH19" s="237"/>
      <c r="AI19" s="247"/>
      <c r="AJ19" s="248"/>
      <c r="AK19" s="224" t="s">
        <v>5</v>
      </c>
      <c r="AL19" s="225"/>
      <c r="AM19" s="225"/>
      <c r="AN19" s="226"/>
      <c r="AP19">
        <v>18</v>
      </c>
      <c r="AQ19" s="62" t="s">
        <v>82</v>
      </c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>
        <v>100</v>
      </c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>
        <v>100</v>
      </c>
      <c r="DF19" s="61">
        <v>110</v>
      </c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</row>
    <row r="20" spans="1:129" ht="19.5" customHeight="1">
      <c r="A20" s="256"/>
      <c r="B20" s="257"/>
      <c r="C20" s="257"/>
      <c r="D20" s="257"/>
      <c r="E20" s="258"/>
      <c r="F20" s="188"/>
      <c r="G20" s="173"/>
      <c r="H20" s="174"/>
      <c r="I20" s="174"/>
      <c r="J20" s="174"/>
      <c r="K20" s="174"/>
      <c r="L20" s="174"/>
      <c r="M20" s="174"/>
      <c r="N20" s="175"/>
      <c r="O20" s="173"/>
      <c r="P20" s="174"/>
      <c r="Q20" s="174"/>
      <c r="R20" s="174"/>
      <c r="S20" s="174"/>
      <c r="T20" s="174"/>
      <c r="U20" s="174"/>
      <c r="V20" s="175"/>
      <c r="W20" s="176"/>
      <c r="X20" s="176"/>
      <c r="Y20" s="176"/>
      <c r="Z20" s="174"/>
      <c r="AA20" s="174"/>
      <c r="AB20" s="174"/>
      <c r="AC20" s="174"/>
      <c r="AD20" s="174"/>
      <c r="AE20" s="174"/>
      <c r="AF20" s="174"/>
      <c r="AG20" s="174"/>
      <c r="AH20" s="237"/>
      <c r="AI20" s="247"/>
      <c r="AJ20" s="248"/>
      <c r="AK20" s="227"/>
      <c r="AL20" s="228"/>
      <c r="AM20" s="228"/>
      <c r="AN20" s="229"/>
      <c r="AP20">
        <v>19</v>
      </c>
      <c r="AQ20" s="62" t="s">
        <v>84</v>
      </c>
      <c r="AR20" s="61"/>
      <c r="AS20" s="61"/>
      <c r="AT20" s="61"/>
      <c r="AU20" s="61"/>
      <c r="AV20" s="61"/>
      <c r="AW20" s="61"/>
      <c r="AX20" s="61"/>
      <c r="AY20" s="61"/>
      <c r="AZ20" s="61">
        <v>5</v>
      </c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>
        <v>207</v>
      </c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>
        <v>150</v>
      </c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</row>
    <row r="21" spans="1:129" ht="280.5" customHeight="1">
      <c r="A21" s="259"/>
      <c r="B21" s="260"/>
      <c r="C21" s="260"/>
      <c r="D21" s="260"/>
      <c r="E21" s="261"/>
      <c r="F21" s="189"/>
      <c r="G21" s="75" t="s">
        <v>122</v>
      </c>
      <c r="H21" s="68" t="s">
        <v>7</v>
      </c>
      <c r="I21" s="68" t="s">
        <v>166</v>
      </c>
      <c r="J21" s="69" t="s">
        <v>167</v>
      </c>
      <c r="K21" s="67" t="s">
        <v>11</v>
      </c>
      <c r="L21" s="67" t="s">
        <v>100</v>
      </c>
      <c r="M21" s="67" t="s">
        <v>107</v>
      </c>
      <c r="N21" s="84"/>
      <c r="O21" s="70" t="s">
        <v>164</v>
      </c>
      <c r="P21" s="67" t="s">
        <v>146</v>
      </c>
      <c r="Q21" s="70" t="s">
        <v>219</v>
      </c>
      <c r="R21" s="67" t="s">
        <v>109</v>
      </c>
      <c r="S21" s="67" t="s">
        <v>11</v>
      </c>
      <c r="T21" s="67"/>
      <c r="U21" s="67"/>
      <c r="V21" s="67"/>
      <c r="W21" s="67" t="s">
        <v>118</v>
      </c>
      <c r="X21" s="67" t="s">
        <v>8</v>
      </c>
      <c r="Y21" s="84"/>
      <c r="Z21" s="70" t="s">
        <v>76</v>
      </c>
      <c r="AA21" s="67" t="s">
        <v>277</v>
      </c>
      <c r="AB21" s="67" t="s">
        <v>168</v>
      </c>
      <c r="AC21" s="67" t="s">
        <v>99</v>
      </c>
      <c r="AD21" s="67" t="s">
        <v>11</v>
      </c>
      <c r="AE21" s="67" t="s">
        <v>81</v>
      </c>
      <c r="AF21" s="67" t="s">
        <v>111</v>
      </c>
      <c r="AG21" s="84"/>
      <c r="AH21" s="143"/>
      <c r="AI21" s="158"/>
      <c r="AJ21" s="249"/>
      <c r="AK21" s="158" t="s">
        <v>287</v>
      </c>
      <c r="AL21" s="159"/>
      <c r="AM21" s="100" t="s">
        <v>288</v>
      </c>
      <c r="AN21" s="104" t="s">
        <v>289</v>
      </c>
      <c r="AP21">
        <v>20</v>
      </c>
      <c r="AQ21" s="62" t="s">
        <v>85</v>
      </c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>
        <v>7.5</v>
      </c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>
        <v>180</v>
      </c>
      <c r="CH21" s="61"/>
      <c r="CI21" s="61">
        <v>15</v>
      </c>
      <c r="CJ21" s="61"/>
      <c r="CK21" s="61"/>
      <c r="CL21" s="61"/>
      <c r="CM21" s="61">
        <v>1</v>
      </c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>
        <v>150</v>
      </c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</row>
    <row r="22" spans="1:129" ht="24" customHeight="1">
      <c r="A22" s="157">
        <v>1</v>
      </c>
      <c r="B22" s="157"/>
      <c r="C22" s="157"/>
      <c r="D22" s="157"/>
      <c r="E22" s="157"/>
      <c r="F22" s="65">
        <v>2</v>
      </c>
      <c r="G22" s="76">
        <v>3</v>
      </c>
      <c r="H22" s="43">
        <v>4</v>
      </c>
      <c r="I22" s="43">
        <v>5</v>
      </c>
      <c r="J22" s="43">
        <v>6</v>
      </c>
      <c r="K22" s="43">
        <v>7</v>
      </c>
      <c r="L22" s="43">
        <v>8</v>
      </c>
      <c r="M22" s="43">
        <v>9</v>
      </c>
      <c r="N22" s="85">
        <v>10</v>
      </c>
      <c r="O22" s="44">
        <v>11</v>
      </c>
      <c r="P22" s="43">
        <v>12</v>
      </c>
      <c r="Q22" s="44">
        <v>13</v>
      </c>
      <c r="R22" s="43">
        <v>14</v>
      </c>
      <c r="S22" s="43">
        <v>15</v>
      </c>
      <c r="T22" s="43">
        <v>16</v>
      </c>
      <c r="U22" s="43">
        <v>17</v>
      </c>
      <c r="V22" s="43">
        <v>18</v>
      </c>
      <c r="W22" s="43">
        <v>19</v>
      </c>
      <c r="X22" s="43">
        <v>20</v>
      </c>
      <c r="Y22" s="85">
        <v>21</v>
      </c>
      <c r="Z22" s="44">
        <v>22</v>
      </c>
      <c r="AA22" s="43">
        <v>23</v>
      </c>
      <c r="AB22" s="43">
        <v>24</v>
      </c>
      <c r="AC22" s="43">
        <v>25</v>
      </c>
      <c r="AD22" s="43">
        <v>26</v>
      </c>
      <c r="AE22" s="43">
        <v>27</v>
      </c>
      <c r="AF22" s="43">
        <v>28</v>
      </c>
      <c r="AG22" s="85">
        <v>29</v>
      </c>
      <c r="AH22" s="103">
        <v>30</v>
      </c>
      <c r="AI22" s="239">
        <v>31</v>
      </c>
      <c r="AJ22" s="240"/>
      <c r="AK22" s="157">
        <v>32</v>
      </c>
      <c r="AL22" s="157"/>
      <c r="AM22" s="102">
        <v>33</v>
      </c>
      <c r="AN22" s="101">
        <v>34</v>
      </c>
      <c r="AP22">
        <v>21</v>
      </c>
      <c r="AQ22" s="62" t="s">
        <v>86</v>
      </c>
      <c r="AR22" s="61"/>
      <c r="AS22" s="61"/>
      <c r="AT22" s="61"/>
      <c r="AU22" s="61"/>
      <c r="AV22" s="61"/>
      <c r="AW22" s="61"/>
      <c r="AX22" s="61"/>
      <c r="AY22" s="61"/>
      <c r="AZ22" s="61">
        <v>5</v>
      </c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>
        <v>24</v>
      </c>
      <c r="CJ22" s="61"/>
      <c r="CK22" s="61"/>
      <c r="CL22" s="61"/>
      <c r="CM22" s="61"/>
      <c r="CN22" s="61"/>
      <c r="CO22" s="61">
        <v>107</v>
      </c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>
        <v>100</v>
      </c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</row>
    <row r="23" spans="1:129" ht="20.25">
      <c r="A23" s="190" t="s">
        <v>181</v>
      </c>
      <c r="B23" s="190"/>
      <c r="C23" s="190"/>
      <c r="D23" s="190"/>
      <c r="E23" s="190"/>
      <c r="F23" s="63" t="s">
        <v>1</v>
      </c>
      <c r="G23" s="77">
        <v>16</v>
      </c>
      <c r="H23" s="20">
        <f>G23</f>
        <v>16</v>
      </c>
      <c r="I23" s="20">
        <f>G23</f>
        <v>16</v>
      </c>
      <c r="J23" s="20">
        <f>G23</f>
        <v>16</v>
      </c>
      <c r="K23" s="20">
        <f>G23</f>
        <v>16</v>
      </c>
      <c r="L23" s="20">
        <f>G23</f>
        <v>16</v>
      </c>
      <c r="M23" s="20">
        <f>G23</f>
        <v>16</v>
      </c>
      <c r="N23" s="86">
        <f>G23</f>
        <v>16</v>
      </c>
      <c r="O23" s="21">
        <v>16</v>
      </c>
      <c r="P23" s="20">
        <f aca="true" t="shared" si="0" ref="P23:V23">O23</f>
        <v>16</v>
      </c>
      <c r="Q23" s="21">
        <f t="shared" si="0"/>
        <v>16</v>
      </c>
      <c r="R23" s="20">
        <f t="shared" si="0"/>
        <v>16</v>
      </c>
      <c r="S23" s="20">
        <f t="shared" si="0"/>
        <v>16</v>
      </c>
      <c r="T23" s="20">
        <f t="shared" si="0"/>
        <v>16</v>
      </c>
      <c r="U23" s="20">
        <f t="shared" si="0"/>
        <v>16</v>
      </c>
      <c r="V23" s="20">
        <f t="shared" si="0"/>
        <v>16</v>
      </c>
      <c r="W23" s="20">
        <f>G23</f>
        <v>16</v>
      </c>
      <c r="X23" s="20">
        <f>W23</f>
        <v>16</v>
      </c>
      <c r="Y23" s="86">
        <f>X23</f>
        <v>16</v>
      </c>
      <c r="Z23" s="21">
        <v>16</v>
      </c>
      <c r="AA23" s="20">
        <f>Z23</f>
        <v>16</v>
      </c>
      <c r="AB23" s="20">
        <f aca="true" t="shared" si="1" ref="AB23:AG23">AA23</f>
        <v>16</v>
      </c>
      <c r="AC23" s="20">
        <f t="shared" si="1"/>
        <v>16</v>
      </c>
      <c r="AD23" s="20">
        <f t="shared" si="1"/>
        <v>16</v>
      </c>
      <c r="AE23" s="20">
        <f t="shared" si="1"/>
        <v>16</v>
      </c>
      <c r="AF23" s="20">
        <f t="shared" si="1"/>
        <v>16</v>
      </c>
      <c r="AG23" s="86">
        <f t="shared" si="1"/>
        <v>16</v>
      </c>
      <c r="AH23" s="3"/>
      <c r="AI23" s="150"/>
      <c r="AJ23" s="150"/>
      <c r="AK23" s="135"/>
      <c r="AL23" s="135"/>
      <c r="AM23" s="2"/>
      <c r="AN23" s="3"/>
      <c r="AP23">
        <v>22</v>
      </c>
      <c r="AQ23" s="62" t="s">
        <v>87</v>
      </c>
      <c r="AR23" s="61"/>
      <c r="AS23" s="61"/>
      <c r="AT23" s="61"/>
      <c r="AU23" s="61"/>
      <c r="AV23" s="61"/>
      <c r="AW23" s="61"/>
      <c r="AX23" s="61"/>
      <c r="AY23" s="61"/>
      <c r="AZ23" s="61">
        <v>3</v>
      </c>
      <c r="BA23" s="61"/>
      <c r="BB23" s="61"/>
      <c r="BC23" s="61"/>
      <c r="BD23" s="61"/>
      <c r="BE23" s="61"/>
      <c r="BF23" s="61"/>
      <c r="BG23" s="61">
        <v>6</v>
      </c>
      <c r="BH23" s="61"/>
      <c r="BI23" s="61"/>
      <c r="BJ23" s="61"/>
      <c r="BK23" s="61"/>
      <c r="BL23" s="61">
        <v>2</v>
      </c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>
        <v>1</v>
      </c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>
        <v>111</v>
      </c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>
        <v>100</v>
      </c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</row>
    <row r="24" spans="1:129" ht="26.25" customHeight="1">
      <c r="A24" s="193" t="s">
        <v>182</v>
      </c>
      <c r="B24" s="193"/>
      <c r="C24" s="193"/>
      <c r="D24" s="193"/>
      <c r="E24" s="194"/>
      <c r="F24" s="64" t="s">
        <v>1</v>
      </c>
      <c r="G24" s="108">
        <f>IF(завтрак1="хліб житній",DS2,(IF(завтрак1="хліб пшеничний",DR2,(VLOOKUP(завтрак1,таб,67,FALSE)))))</f>
        <v>200</v>
      </c>
      <c r="H24" s="41">
        <f>IF(завтрак2="хліб житній",DS2,(IF(завтрак2="хліб пшеничний",DR2,(VLOOKUP(завтрак2,таб,67,FALSE)))))</f>
        <v>40</v>
      </c>
      <c r="I24" s="41">
        <f>IF(завтрак3="хліб житній",DS2,(IF(завтрак3="хліб пшеничний",DR2,(VLOOKUP(завтрак3,таб,67,FALSE)))))</f>
        <v>15</v>
      </c>
      <c r="J24" s="41">
        <f>IF(завтрак4="хліб житній",DS2,(IF(завтрак4="хліб пшеничний",DR2,(VLOOKUP(завтрак4,таб,67,FALSE)))))</f>
        <v>15</v>
      </c>
      <c r="K24" s="41">
        <v>100</v>
      </c>
      <c r="L24" s="41">
        <f>IF(завтрак6="хліб житній",DS2,(IF(завтрак6="хліб пшеничний",DR2,(VLOOKUP(завтрак6,таб,67,FALSE)))))</f>
        <v>200</v>
      </c>
      <c r="M24" s="41">
        <f>IF(завтрак7="хліб житній",DS2,(IF(завтрак7="хліб пшеничний",DR2,(VLOOKUP(завтрак7,таб,67,FALSE)))))</f>
        <v>300</v>
      </c>
      <c r="N24" s="87">
        <f>IF(завтрак8="хліб житній",DS2,(IF(завтрак8="хліб пшеничний",DR2,(VLOOKUP(завтрак8,таб,67,FALSE)))))</f>
        <v>0</v>
      </c>
      <c r="O24" s="41">
        <f>IF(обед1="хліб житній",DU2,(IF(обед1="хліб пшеничний",DT2,(VLOOKUP(обед1,таб,67,FALSE)))))</f>
        <v>300</v>
      </c>
      <c r="P24" s="41">
        <f>IF(обед2="хліб житній",DU2,(IF(обед2="хліб пшеничний",DT2,(VLOOKUP(обед2,таб,67,FALSE)))))</f>
        <v>260</v>
      </c>
      <c r="Q24" s="41">
        <f>IF(обед3="хліб житній",DU2,(IF(обед3="хліб пшеничний",DT2,(VLOOKUP(обед3,таб,67,FALSE)))))</f>
        <v>100</v>
      </c>
      <c r="R24" s="41">
        <f>IF(обед4="хліб житній",DU2,(IF(обед4="хліб пшеничний",DT2,(VLOOKUP(обед4,таб,67,FALSE)))))</f>
        <v>180</v>
      </c>
      <c r="S24" s="41">
        <v>150</v>
      </c>
      <c r="T24" s="41">
        <f>IF(обед6="хліб житній",DU2,(IF(обед6="хліб пшеничний",DT2,(VLOOKUP(обед6,таб,67,FALSE)))))</f>
        <v>0</v>
      </c>
      <c r="U24" s="41">
        <f>IF(обед7="хліб житній",DU2,(IF(обед7="хліб пшеничний",DT2,(VLOOKUP(обед7,таб,67,FALSE)))))</f>
        <v>0</v>
      </c>
      <c r="V24" s="40">
        <f>IF(обед8="хліб житній",DU2,(IF(обед8="хліб пшеничний",DT2,(VLOOKUP(обед8,таб,67,FALSE)))))</f>
        <v>0</v>
      </c>
      <c r="W24" s="40" t="str">
        <f>VLOOKUP(полдник1,таб,67,FALSE)</f>
        <v>100/20</v>
      </c>
      <c r="X24" s="40">
        <f>VLOOKUP(полдник2,таб,67,FALSE)</f>
        <v>200</v>
      </c>
      <c r="Y24" s="87">
        <f>VLOOKUP(полдник3,таб,67,FALSE)</f>
        <v>0</v>
      </c>
      <c r="Z24" s="41">
        <f>IF(ужин1="хліб житній",DW2,(IF(ужин1="хліб пшеничний",DV2,(VLOOKUP(ужин1,таб,67,FALSE)))))</f>
        <v>100</v>
      </c>
      <c r="AA24" s="40">
        <f>IF(ужин2="хліб житній",DW2,(IF(ужин2="хліб пшеничний",DV2,(VLOOKUP(ужин2,таб,67,FALSE)))))</f>
        <v>80</v>
      </c>
      <c r="AB24" s="40">
        <f>IF(ужин3="хліб житній",DW2,(IF(ужин3="хліб пшеничний",DV2,(VLOOKUP(ужин3,таб,67,FALSE)))))</f>
        <v>100</v>
      </c>
      <c r="AC24" s="40" t="str">
        <f>IF(ужин4="хліб житній",DW2,(IF(ужин4="хліб пшеничний",DV2,(VLOOKUP(ужин4,таб,67,FALSE)))))</f>
        <v>1шт</v>
      </c>
      <c r="AD24" s="40">
        <v>66</v>
      </c>
      <c r="AE24" s="40">
        <f>IF(ужин6="хліб житній",DW2,(IF(ужин6="хліб пшеничний",DV2,(VLOOKUP(ужин6,таб,67,FALSE)))))</f>
        <v>30</v>
      </c>
      <c r="AF24" s="40">
        <f>IF(ужин7="хліб житній",DW2,(IF(ужин7="хліб пшеничний",DV2,(VLOOKUP(ужин7,таб,67,FALSE)))))</f>
        <v>200</v>
      </c>
      <c r="AG24" s="87">
        <f>IF(ужин8="хліб житній",DW2,(IF(ужин8="хліб пшеничний",DV2,(VLOOKUP(ужин8,таб,67,FALSE)))))</f>
        <v>0</v>
      </c>
      <c r="AH24" s="96"/>
      <c r="AI24" s="220"/>
      <c r="AJ24" s="220"/>
      <c r="AK24" s="135"/>
      <c r="AL24" s="135"/>
      <c r="AM24" s="2"/>
      <c r="AN24" s="3"/>
      <c r="AP24">
        <v>23</v>
      </c>
      <c r="AQ24" s="62" t="s">
        <v>239</v>
      </c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>
        <v>20</v>
      </c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>
        <v>24</v>
      </c>
      <c r="CJ24" s="61"/>
      <c r="CK24" s="61"/>
      <c r="CL24" s="61"/>
      <c r="CM24" s="61"/>
      <c r="CN24" s="61"/>
      <c r="CO24" s="61">
        <v>107</v>
      </c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 t="s">
        <v>293</v>
      </c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</row>
    <row r="25" spans="1:129" ht="34.5" customHeight="1">
      <c r="A25" s="167" t="s">
        <v>13</v>
      </c>
      <c r="B25" s="167"/>
      <c r="C25" s="167"/>
      <c r="D25" s="167"/>
      <c r="E25" s="168"/>
      <c r="F25" s="71" t="s">
        <v>198</v>
      </c>
      <c r="G25" s="78">
        <f>VLOOKUP(завтрак1,таб,2,FALSE)</f>
        <v>0</v>
      </c>
      <c r="H25" s="58">
        <f>VLOOKUP(завтрак2,таб,2,FALSE)</f>
        <v>0</v>
      </c>
      <c r="I25" s="28">
        <f>VLOOKUP(завтрак3,таб,2,FALSE)</f>
        <v>0</v>
      </c>
      <c r="J25" s="29">
        <f>VLOOKUP(завтрак4,таб,2,FALSE)</f>
        <v>0</v>
      </c>
      <c r="K25" s="28">
        <f>VLOOKUP(завтрак5,таб,2,FALSE)</f>
        <v>0</v>
      </c>
      <c r="L25" s="28">
        <f>VLOOKUP(завтрак6,таб,2,FALSE)</f>
        <v>0</v>
      </c>
      <c r="M25" s="28">
        <f>VLOOKUP(завтрак7,таб,2,FALSE)</f>
        <v>0</v>
      </c>
      <c r="N25" s="88">
        <f>VLOOKUP(завтрак8,таб,2,FALSE)</f>
        <v>0</v>
      </c>
      <c r="O25" s="30">
        <f>VLOOKUP(обед1,таб,2,FALSE)</f>
        <v>0</v>
      </c>
      <c r="P25" s="28">
        <f>VLOOKUP(обед2,таб,2,FALSE)</f>
        <v>0</v>
      </c>
      <c r="Q25" s="29">
        <f>VLOOKUP(обед3,таб,2,FALSE)</f>
        <v>0</v>
      </c>
      <c r="R25" s="28">
        <f>VLOOKUP(обед4,таб,2,FALSE)</f>
        <v>0</v>
      </c>
      <c r="S25" s="29">
        <f>VLOOKUP(обед5,таб,2,FALSE)</f>
        <v>0</v>
      </c>
      <c r="T25" s="28">
        <f>VLOOKUP(обед6,таб,2,FALSE)</f>
        <v>0</v>
      </c>
      <c r="U25" s="29">
        <f>VLOOKUP(обед7,таб,2,FALSE)</f>
        <v>0</v>
      </c>
      <c r="V25" s="28">
        <f>VLOOKUP(обед8,таб,2,FALSE)</f>
        <v>0</v>
      </c>
      <c r="W25" s="28">
        <f>VLOOKUP(полдник1,таб,2,FALSE)</f>
        <v>0</v>
      </c>
      <c r="X25" s="28">
        <f>VLOOKUP(полдник2,таб,2,FALSE)</f>
        <v>0</v>
      </c>
      <c r="Y25" s="88">
        <f>VLOOKUP(полдник3,таб,2,FALSE)</f>
        <v>0</v>
      </c>
      <c r="Z25" s="30">
        <f>VLOOKUP(ужин1,таб,2,FALSE)</f>
        <v>0</v>
      </c>
      <c r="AA25" s="29">
        <f>VLOOKUP(ужин2,таб,2,FALSE)</f>
        <v>0</v>
      </c>
      <c r="AB25" s="28">
        <f>VLOOKUP(ужин3,таб,2,FALSE)</f>
        <v>0</v>
      </c>
      <c r="AC25" s="29">
        <f>VLOOKUP(ужин4,таб,2,FALSE)</f>
        <v>0</v>
      </c>
      <c r="AD25" s="28">
        <f>VLOOKUP(ужин5,таб,2,FALSE)</f>
        <v>0</v>
      </c>
      <c r="AE25" s="29">
        <f>VLOOKUP(ужин6,таб,2,FALSE)</f>
        <v>0</v>
      </c>
      <c r="AF25" s="28">
        <f>VLOOKUP(ужин7,таб,2,FALSE)</f>
        <v>0</v>
      </c>
      <c r="AG25" s="88">
        <f>VLOOKUP(ужин8,таб,2,FALSE)</f>
        <v>0</v>
      </c>
      <c r="AH25" s="152">
        <v>610001</v>
      </c>
      <c r="AI25" s="161">
        <f>AK25/сред</f>
        <v>0</v>
      </c>
      <c r="AJ25" s="162"/>
      <c r="AK25" s="154">
        <f>SUM(G26:AG26)</f>
        <v>0</v>
      </c>
      <c r="AL25" s="154"/>
      <c r="AM25" s="213">
        <f>IF(AK25=0,0,AR117)</f>
        <v>0</v>
      </c>
      <c r="AN25" s="155">
        <f>AK25*AM25</f>
        <v>0</v>
      </c>
      <c r="AP25">
        <v>24</v>
      </c>
      <c r="AQ25" s="62" t="s">
        <v>88</v>
      </c>
      <c r="AR25" s="61"/>
      <c r="AS25" s="61"/>
      <c r="AT25" s="61"/>
      <c r="AU25" s="61"/>
      <c r="AV25" s="61"/>
      <c r="AW25" s="61"/>
      <c r="AX25" s="61"/>
      <c r="AY25" s="61"/>
      <c r="AZ25" s="61">
        <v>4.5</v>
      </c>
      <c r="BA25" s="61"/>
      <c r="BB25" s="61"/>
      <c r="BC25" s="61">
        <v>4</v>
      </c>
      <c r="BD25" s="61"/>
      <c r="BE25" s="61"/>
      <c r="BF25" s="61"/>
      <c r="BG25" s="61"/>
      <c r="BH25" s="61"/>
      <c r="BI25" s="61"/>
      <c r="BJ25" s="61"/>
      <c r="BK25" s="61"/>
      <c r="BL25" s="61">
        <v>1.5</v>
      </c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>
        <v>4.5</v>
      </c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>
        <v>224</v>
      </c>
      <c r="CI25" s="61">
        <v>7.5</v>
      </c>
      <c r="CJ25" s="61">
        <v>4.5</v>
      </c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>
        <v>155</v>
      </c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</row>
    <row r="26" spans="1:129" ht="34.5" customHeight="1">
      <c r="A26" s="167"/>
      <c r="B26" s="167"/>
      <c r="C26" s="167"/>
      <c r="D26" s="167"/>
      <c r="E26" s="168"/>
      <c r="F26" s="66" t="s">
        <v>199</v>
      </c>
      <c r="G26" s="79">
        <f aca="true" t="shared" si="2" ref="G26:N26">IF(G25=0,"",завтракл*G25/1000)</f>
      </c>
      <c r="H26" s="59">
        <f t="shared" si="2"/>
      </c>
      <c r="I26" s="46">
        <f t="shared" si="2"/>
      </c>
      <c r="J26" s="47">
        <f t="shared" si="2"/>
      </c>
      <c r="K26" s="46">
        <f t="shared" si="2"/>
      </c>
      <c r="L26" s="46">
        <f t="shared" si="2"/>
      </c>
      <c r="M26" s="46">
        <f t="shared" si="2"/>
      </c>
      <c r="N26" s="89">
        <f t="shared" si="2"/>
      </c>
      <c r="O26" s="48">
        <f aca="true" t="shared" si="3" ref="O26:T26">IF(O25=0,"",обідл*O25/1000)</f>
      </c>
      <c r="P26" s="46">
        <f t="shared" si="3"/>
      </c>
      <c r="Q26" s="47">
        <f t="shared" si="3"/>
      </c>
      <c r="R26" s="46">
        <f t="shared" si="3"/>
      </c>
      <c r="S26" s="47">
        <f t="shared" si="3"/>
      </c>
      <c r="T26" s="46">
        <f t="shared" si="3"/>
      </c>
      <c r="U26" s="47">
        <f>IF(U25=0,"",обідл*U25/1000)</f>
      </c>
      <c r="V26" s="46">
        <f>IF(V25=0,"",обідл*V25/1000)</f>
      </c>
      <c r="W26" s="46">
        <f>IF(W25=0,"",полдникл*W25/1000)</f>
      </c>
      <c r="X26" s="46">
        <f>IF(X25=0,"",полдникл*X25/1000)</f>
      </c>
      <c r="Y26" s="89">
        <f>IF(Y25=0,"",полдникл*Y25/1000)</f>
      </c>
      <c r="Z26" s="48">
        <f aca="true" t="shared" si="4" ref="Z26:AG26">IF(Z25=0,"",ужинл*Z25/1000)</f>
      </c>
      <c r="AA26" s="47">
        <f t="shared" si="4"/>
      </c>
      <c r="AB26" s="46">
        <f t="shared" si="4"/>
      </c>
      <c r="AC26" s="47">
        <f t="shared" si="4"/>
      </c>
      <c r="AD26" s="46">
        <f t="shared" si="4"/>
      </c>
      <c r="AE26" s="47">
        <f t="shared" si="4"/>
      </c>
      <c r="AF26" s="46">
        <f t="shared" si="4"/>
      </c>
      <c r="AG26" s="89">
        <f t="shared" si="4"/>
      </c>
      <c r="AH26" s="153"/>
      <c r="AI26" s="161"/>
      <c r="AJ26" s="162"/>
      <c r="AK26" s="154"/>
      <c r="AL26" s="154"/>
      <c r="AM26" s="214"/>
      <c r="AN26" s="156"/>
      <c r="AP26">
        <v>25</v>
      </c>
      <c r="AQ26" s="62" t="s">
        <v>89</v>
      </c>
      <c r="AR26" s="61"/>
      <c r="AS26" s="61"/>
      <c r="AT26" s="61"/>
      <c r="AU26" s="61"/>
      <c r="AV26" s="61"/>
      <c r="AW26" s="61"/>
      <c r="AX26" s="61"/>
      <c r="AY26" s="61"/>
      <c r="AZ26" s="61">
        <v>3</v>
      </c>
      <c r="BA26" s="61"/>
      <c r="BB26" s="61"/>
      <c r="BC26" s="61">
        <v>4</v>
      </c>
      <c r="BD26" s="61"/>
      <c r="BE26" s="61"/>
      <c r="BF26" s="61"/>
      <c r="BG26" s="61"/>
      <c r="BH26" s="61"/>
      <c r="BI26" s="61"/>
      <c r="BJ26" s="61"/>
      <c r="BK26" s="61"/>
      <c r="BL26" s="61">
        <v>2</v>
      </c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>
        <v>1</v>
      </c>
      <c r="BX26" s="61"/>
      <c r="BY26" s="61"/>
      <c r="BZ26" s="61"/>
      <c r="CA26" s="61"/>
      <c r="CB26" s="61"/>
      <c r="CC26" s="61"/>
      <c r="CD26" s="61"/>
      <c r="CE26" s="61"/>
      <c r="CF26" s="61"/>
      <c r="CG26" s="61">
        <v>104</v>
      </c>
      <c r="CH26" s="61">
        <v>110</v>
      </c>
      <c r="CI26" s="61">
        <v>5</v>
      </c>
      <c r="CJ26" s="61">
        <v>8</v>
      </c>
      <c r="CK26" s="61"/>
      <c r="CL26" s="61"/>
      <c r="CM26" s="61">
        <v>2</v>
      </c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>
        <v>150</v>
      </c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</row>
    <row r="27" spans="1:129" ht="34.5" customHeight="1">
      <c r="A27" s="167" t="s">
        <v>3</v>
      </c>
      <c r="B27" s="167"/>
      <c r="C27" s="167"/>
      <c r="D27" s="167"/>
      <c r="E27" s="168"/>
      <c r="F27" s="71" t="s">
        <v>198</v>
      </c>
      <c r="G27" s="78">
        <f>VLOOKUP(завтрак1,таб,3,FALSE)</f>
        <v>0</v>
      </c>
      <c r="H27" s="29">
        <f>VLOOKUP(завтрак2,таб,3,FALSE)</f>
        <v>0</v>
      </c>
      <c r="I27" s="28">
        <f>VLOOKUP(завтрак3,таб,3,FALSE)</f>
        <v>0</v>
      </c>
      <c r="J27" s="29">
        <f>VLOOKUP(завтрак4,таб,3,FALSE)</f>
        <v>0</v>
      </c>
      <c r="K27" s="28">
        <f>VLOOKUP(завтрак5,таб,3,FALSE)</f>
        <v>0</v>
      </c>
      <c r="L27" s="28">
        <f>VLOOKUP(завтрак6,таб,3,FALSE)</f>
        <v>0</v>
      </c>
      <c r="M27" s="28">
        <f>VLOOKUP(завтрак7,таб,3,FALSE)</f>
        <v>0</v>
      </c>
      <c r="N27" s="88">
        <f>VLOOKUP(завтрак8,таб,3,FALSE)</f>
        <v>0</v>
      </c>
      <c r="O27" s="30">
        <f>VLOOKUP(обед1,таб,3,FALSE)</f>
        <v>0</v>
      </c>
      <c r="P27" s="28">
        <f>VLOOKUP(обед2,таб,3,FALSE)</f>
        <v>130</v>
      </c>
      <c r="Q27" s="29">
        <f>VLOOKUP(обед3,таб,3,FALSE)</f>
        <v>0</v>
      </c>
      <c r="R27" s="28">
        <f>VLOOKUP(обед4,таб,3,FALSE)</f>
        <v>0</v>
      </c>
      <c r="S27" s="29">
        <f>VLOOKUP(обед5,таб,3,FALSE)</f>
        <v>0</v>
      </c>
      <c r="T27" s="28">
        <f>VLOOKUP(обед6,таб,3,FALSE)</f>
        <v>0</v>
      </c>
      <c r="U27" s="29">
        <f>VLOOKUP(обед7,таб,3,FALSE)</f>
        <v>0</v>
      </c>
      <c r="V27" s="28">
        <f>VLOOKUP(обед8,таб,3,FALSE)</f>
        <v>0</v>
      </c>
      <c r="W27" s="28">
        <f>VLOOKUP(полдник1,таб,3,FALSE)</f>
        <v>0</v>
      </c>
      <c r="X27" s="28">
        <f>VLOOKUP(полдник2,таб,3,FALSE)</f>
        <v>0</v>
      </c>
      <c r="Y27" s="88">
        <f>VLOOKUP(полдник3,таб,3,FALSE)</f>
        <v>0</v>
      </c>
      <c r="Z27" s="30">
        <f>VLOOKUP(ужин1,таб,3,FALSE)</f>
        <v>0</v>
      </c>
      <c r="AA27" s="29">
        <f>VLOOKUP(ужин2,таб,3,FALSE)</f>
        <v>0</v>
      </c>
      <c r="AB27" s="28">
        <f>VLOOKUP(ужин3,таб,3,FALSE)</f>
        <v>0</v>
      </c>
      <c r="AC27" s="29">
        <f>VLOOKUP(ужин4,таб,3,FALSE)</f>
        <v>0</v>
      </c>
      <c r="AD27" s="28">
        <f>VLOOKUP(ужин5,таб,3,FALSE)</f>
        <v>0</v>
      </c>
      <c r="AE27" s="29">
        <f>VLOOKUP(ужин6,таб,3,FALSE)</f>
        <v>0</v>
      </c>
      <c r="AF27" s="28">
        <f>VLOOKUP(ужин7,таб,3,FALSE)</f>
        <v>0</v>
      </c>
      <c r="AG27" s="88">
        <f>VLOOKUP(ужин8,таб,3,FALSE)</f>
        <v>0</v>
      </c>
      <c r="AH27" s="152">
        <v>610002</v>
      </c>
      <c r="AI27" s="161">
        <f>AK27/сред</f>
        <v>0.13</v>
      </c>
      <c r="AJ27" s="162"/>
      <c r="AK27" s="154">
        <f>SUM(G28:AG28)</f>
        <v>2.08</v>
      </c>
      <c r="AL27" s="154"/>
      <c r="AM27" s="213">
        <f>IF(AK27=0,0,AS117)</f>
        <v>118</v>
      </c>
      <c r="AN27" s="155">
        <f>AK27*AM27</f>
        <v>245.44</v>
      </c>
      <c r="AP27">
        <v>26</v>
      </c>
      <c r="AQ27" s="62" t="s">
        <v>90</v>
      </c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>
        <v>7</v>
      </c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>
        <v>10</v>
      </c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>
        <v>94</v>
      </c>
      <c r="CH27" s="61">
        <v>98</v>
      </c>
      <c r="CI27" s="61">
        <v>20</v>
      </c>
      <c r="CJ27" s="61">
        <v>18</v>
      </c>
      <c r="CK27" s="61"/>
      <c r="CL27" s="61"/>
      <c r="CM27" s="61">
        <v>2</v>
      </c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>
        <v>200</v>
      </c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</row>
    <row r="28" spans="1:129" ht="34.5" customHeight="1">
      <c r="A28" s="167"/>
      <c r="B28" s="167"/>
      <c r="C28" s="167"/>
      <c r="D28" s="167"/>
      <c r="E28" s="168"/>
      <c r="F28" s="66" t="s">
        <v>199</v>
      </c>
      <c r="G28" s="79">
        <f aca="true" t="shared" si="5" ref="G28:N28">IF(G27=0,"",завтракл*G27/1000)</f>
      </c>
      <c r="H28" s="47">
        <f t="shared" si="5"/>
      </c>
      <c r="I28" s="46">
        <f t="shared" si="5"/>
      </c>
      <c r="J28" s="47">
        <f t="shared" si="5"/>
      </c>
      <c r="K28" s="46">
        <f t="shared" si="5"/>
      </c>
      <c r="L28" s="46">
        <f t="shared" si="5"/>
      </c>
      <c r="M28" s="46">
        <f t="shared" si="5"/>
      </c>
      <c r="N28" s="89">
        <f t="shared" si="5"/>
      </c>
      <c r="O28" s="48">
        <f aca="true" t="shared" si="6" ref="O28:T28">IF(O27=0,"",обідл*O27/1000)</f>
      </c>
      <c r="P28" s="46">
        <f t="shared" si="6"/>
        <v>2.08</v>
      </c>
      <c r="Q28" s="47">
        <f t="shared" si="6"/>
      </c>
      <c r="R28" s="46">
        <f t="shared" si="6"/>
      </c>
      <c r="S28" s="47">
        <f t="shared" si="6"/>
      </c>
      <c r="T28" s="46">
        <f t="shared" si="6"/>
      </c>
      <c r="U28" s="47">
        <f>IF(U27=0,"",обідл*U27/1000)</f>
      </c>
      <c r="V28" s="46">
        <f>IF(V27=0,"",обідл*V27/1000)</f>
      </c>
      <c r="W28" s="46">
        <f>IF(W27=0,"",полдникл*W27/1000)</f>
      </c>
      <c r="X28" s="46">
        <f>IF(X27=0,"",полдникл*X27/1000)</f>
      </c>
      <c r="Y28" s="89">
        <f>IF(Y27=0,"",полдникл*Y27/1000)</f>
      </c>
      <c r="Z28" s="48">
        <f aca="true" t="shared" si="7" ref="Z28:AG28">IF(Z27=0,"",ужинл*Z27/1000)</f>
      </c>
      <c r="AA28" s="47">
        <f t="shared" si="7"/>
      </c>
      <c r="AB28" s="46">
        <f t="shared" si="7"/>
      </c>
      <c r="AC28" s="47">
        <f t="shared" si="7"/>
      </c>
      <c r="AD28" s="46">
        <f t="shared" si="7"/>
      </c>
      <c r="AE28" s="47">
        <f t="shared" si="7"/>
      </c>
      <c r="AF28" s="46">
        <f t="shared" si="7"/>
      </c>
      <c r="AG28" s="89">
        <f t="shared" si="7"/>
      </c>
      <c r="AH28" s="153"/>
      <c r="AI28" s="161"/>
      <c r="AJ28" s="162"/>
      <c r="AK28" s="154"/>
      <c r="AL28" s="154"/>
      <c r="AM28" s="214"/>
      <c r="AN28" s="156"/>
      <c r="AP28">
        <v>27</v>
      </c>
      <c r="AQ28" s="62" t="s">
        <v>240</v>
      </c>
      <c r="AR28" s="61"/>
      <c r="AS28" s="61"/>
      <c r="AT28" s="61"/>
      <c r="AU28" s="61"/>
      <c r="AV28" s="61"/>
      <c r="AW28" s="61"/>
      <c r="AX28" s="61"/>
      <c r="AY28" s="61"/>
      <c r="AZ28" s="61">
        <v>3</v>
      </c>
      <c r="BA28" s="61"/>
      <c r="BB28" s="61"/>
      <c r="BC28" s="61"/>
      <c r="BD28" s="61"/>
      <c r="BE28" s="61"/>
      <c r="BF28" s="61"/>
      <c r="BG28" s="61">
        <v>6</v>
      </c>
      <c r="BH28" s="61"/>
      <c r="BI28" s="61"/>
      <c r="BJ28" s="61"/>
      <c r="BK28" s="61"/>
      <c r="BL28" s="61">
        <v>2</v>
      </c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>
        <v>1</v>
      </c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>
        <v>91</v>
      </c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>
        <v>100</v>
      </c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</row>
    <row r="29" spans="1:129" ht="34.5" customHeight="1">
      <c r="A29" s="191" t="s">
        <v>14</v>
      </c>
      <c r="B29" s="191"/>
      <c r="C29" s="191"/>
      <c r="D29" s="191"/>
      <c r="E29" s="192"/>
      <c r="F29" s="71" t="s">
        <v>198</v>
      </c>
      <c r="G29" s="78">
        <f>VLOOKUP(завтрак1,таб,4,FALSE)</f>
        <v>0</v>
      </c>
      <c r="H29" s="29">
        <f>VLOOKUP(завтрак2,таб,4,FALSE)</f>
        <v>0</v>
      </c>
      <c r="I29" s="28">
        <f>VLOOKUP(завтрак3,таб,4,FALSE)</f>
        <v>0</v>
      </c>
      <c r="J29" s="29">
        <f>VLOOKUP(завтрак4,таб,4,FALSE)</f>
        <v>0</v>
      </c>
      <c r="K29" s="28">
        <f>VLOOKUP(завтрак5,таб,4,FALSE)</f>
        <v>0</v>
      </c>
      <c r="L29" s="28">
        <f>VLOOKUP(завтрак6,таб,4,FALSE)</f>
        <v>0</v>
      </c>
      <c r="M29" s="28">
        <f>VLOOKUP(завтрак7,таб,4,FALSE)</f>
        <v>0</v>
      </c>
      <c r="N29" s="88">
        <f>VLOOKUP(завтрак8,таб,4,FALSE)</f>
        <v>0</v>
      </c>
      <c r="O29" s="30">
        <f>VLOOKUP(обед1,таб,4,FALSE)</f>
        <v>0</v>
      </c>
      <c r="P29" s="28">
        <f>VLOOKUP(обед2,таб,4,FALSE)</f>
        <v>0</v>
      </c>
      <c r="Q29" s="29">
        <f>VLOOKUP(обед3,таб,4,FALSE)</f>
        <v>0</v>
      </c>
      <c r="R29" s="28">
        <f>VLOOKUP(обед4,таб,4,FALSE)</f>
        <v>0</v>
      </c>
      <c r="S29" s="29">
        <f>VLOOKUP(обед5,таб,4,FALSE)</f>
        <v>0</v>
      </c>
      <c r="T29" s="28">
        <f>VLOOKUP(обед6,таб,4,FALSE)</f>
        <v>0</v>
      </c>
      <c r="U29" s="29">
        <f>VLOOKUP(обед7,таб,4,FALSE)</f>
        <v>0</v>
      </c>
      <c r="V29" s="28">
        <f>VLOOKUP(обед8,таб,4,FALSE)</f>
        <v>0</v>
      </c>
      <c r="W29" s="28">
        <f>VLOOKUP(полдник1,таб,4,FALSE)</f>
        <v>0</v>
      </c>
      <c r="X29" s="28">
        <f>VLOOKUP(полдник2,таб,4,FALSE)</f>
        <v>0</v>
      </c>
      <c r="Y29" s="88">
        <f>VLOOKUP(полдник3,таб,4,FALSE)</f>
        <v>0</v>
      </c>
      <c r="Z29" s="30">
        <f>VLOOKUP(ужин1,таб,4,FALSE)</f>
        <v>0</v>
      </c>
      <c r="AA29" s="29">
        <f>VLOOKUP(ужин2,таб,4,FALSE)</f>
        <v>0</v>
      </c>
      <c r="AB29" s="28">
        <f>VLOOKUP(ужин3,таб,4,FALSE)</f>
        <v>0</v>
      </c>
      <c r="AC29" s="29">
        <f>VLOOKUP(ужин4,таб,4,FALSE)</f>
        <v>0</v>
      </c>
      <c r="AD29" s="28">
        <f>VLOOKUP(ужин5,таб,4,FALSE)</f>
        <v>0</v>
      </c>
      <c r="AE29" s="29">
        <f>VLOOKUP(ужин6,таб,4,FALSE)</f>
        <v>0</v>
      </c>
      <c r="AF29" s="28">
        <f>VLOOKUP(ужин7,таб,4,FALSE)</f>
        <v>0</v>
      </c>
      <c r="AG29" s="88">
        <f>VLOOKUP(ужин8,таб,4,FALSE)</f>
        <v>0</v>
      </c>
      <c r="AH29" s="152">
        <v>610009</v>
      </c>
      <c r="AI29" s="161">
        <f>AK29/сред</f>
        <v>0</v>
      </c>
      <c r="AJ29" s="162"/>
      <c r="AK29" s="154">
        <f>SUM(G30:AG30)</f>
        <v>0</v>
      </c>
      <c r="AL29" s="154"/>
      <c r="AM29" s="213">
        <f>IF(AK29=0,0,AT117)</f>
        <v>0</v>
      </c>
      <c r="AN29" s="155">
        <f>AK29*AM29</f>
        <v>0</v>
      </c>
      <c r="AP29">
        <v>28</v>
      </c>
      <c r="AQ29" s="62" t="s">
        <v>91</v>
      </c>
      <c r="AR29" s="61"/>
      <c r="AS29" s="61"/>
      <c r="AT29" s="61"/>
      <c r="AU29" s="61"/>
      <c r="AV29" s="61"/>
      <c r="AW29" s="61"/>
      <c r="AX29" s="61"/>
      <c r="AY29" s="61"/>
      <c r="AZ29" s="61">
        <v>3</v>
      </c>
      <c r="BA29" s="61"/>
      <c r="BB29" s="61"/>
      <c r="BC29" s="61"/>
      <c r="BD29" s="61"/>
      <c r="BE29" s="61"/>
      <c r="BF29" s="61"/>
      <c r="BG29" s="61">
        <v>7</v>
      </c>
      <c r="BH29" s="61"/>
      <c r="BI29" s="61"/>
      <c r="BJ29" s="61"/>
      <c r="BK29" s="61"/>
      <c r="BL29" s="61">
        <v>2</v>
      </c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>
        <v>25</v>
      </c>
      <c r="CI29" s="61"/>
      <c r="CJ29" s="61">
        <v>65</v>
      </c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>
        <v>100</v>
      </c>
      <c r="DF29" s="61"/>
      <c r="DG29" s="61">
        <v>15</v>
      </c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</row>
    <row r="30" spans="1:129" ht="34.5" customHeight="1">
      <c r="A30" s="167"/>
      <c r="B30" s="167"/>
      <c r="C30" s="167"/>
      <c r="D30" s="167"/>
      <c r="E30" s="168"/>
      <c r="F30" s="66" t="s">
        <v>199</v>
      </c>
      <c r="G30" s="79">
        <f aca="true" t="shared" si="8" ref="G30:N30">IF(G29=0,"",завтракл*G29/1000)</f>
      </c>
      <c r="H30" s="47">
        <f t="shared" si="8"/>
      </c>
      <c r="I30" s="46">
        <f t="shared" si="8"/>
      </c>
      <c r="J30" s="47">
        <f t="shared" si="8"/>
      </c>
      <c r="K30" s="46">
        <f t="shared" si="8"/>
      </c>
      <c r="L30" s="46">
        <f t="shared" si="8"/>
      </c>
      <c r="M30" s="46">
        <f t="shared" si="8"/>
      </c>
      <c r="N30" s="89">
        <f t="shared" si="8"/>
      </c>
      <c r="O30" s="48">
        <f aca="true" t="shared" si="9" ref="O30:T30">IF(O29=0,"",обідл*O29/1000)</f>
      </c>
      <c r="P30" s="46">
        <f t="shared" si="9"/>
      </c>
      <c r="Q30" s="47">
        <f t="shared" si="9"/>
      </c>
      <c r="R30" s="46">
        <f t="shared" si="9"/>
      </c>
      <c r="S30" s="47">
        <f t="shared" si="9"/>
      </c>
      <c r="T30" s="46">
        <f t="shared" si="9"/>
      </c>
      <c r="U30" s="47">
        <f>IF(U29=0,"",обідл*U29/1000)</f>
      </c>
      <c r="V30" s="46">
        <f>IF(V29=0,"",обідл*V29/1000)</f>
      </c>
      <c r="W30" s="46">
        <f>IF(W29=0,"",полдникл*W29/1000)</f>
      </c>
      <c r="X30" s="46">
        <f>IF(X29=0,"",полдникл*X29/1000)</f>
      </c>
      <c r="Y30" s="89">
        <f>IF(Y29=0,"",полдникл*Y29/1000)</f>
      </c>
      <c r="Z30" s="48">
        <f aca="true" t="shared" si="10" ref="Z30:AG30">IF(Z29=0,"",ужинл*Z29/1000)</f>
      </c>
      <c r="AA30" s="47">
        <f t="shared" si="10"/>
      </c>
      <c r="AB30" s="46">
        <f t="shared" si="10"/>
      </c>
      <c r="AC30" s="47">
        <f t="shared" si="10"/>
      </c>
      <c r="AD30" s="46">
        <f t="shared" si="10"/>
      </c>
      <c r="AE30" s="47">
        <f t="shared" si="10"/>
      </c>
      <c r="AF30" s="46">
        <f t="shared" si="10"/>
      </c>
      <c r="AG30" s="89">
        <f t="shared" si="10"/>
      </c>
      <c r="AH30" s="153"/>
      <c r="AI30" s="161"/>
      <c r="AJ30" s="162"/>
      <c r="AK30" s="154"/>
      <c r="AL30" s="154"/>
      <c r="AM30" s="214"/>
      <c r="AN30" s="156"/>
      <c r="AP30">
        <v>29</v>
      </c>
      <c r="AQ30" s="62" t="s">
        <v>92</v>
      </c>
      <c r="AR30" s="61"/>
      <c r="AS30" s="61"/>
      <c r="AT30" s="61"/>
      <c r="AU30" s="61"/>
      <c r="AV30" s="61"/>
      <c r="AW30" s="61"/>
      <c r="AX30" s="61"/>
      <c r="AY30" s="61"/>
      <c r="AZ30" s="61">
        <v>6</v>
      </c>
      <c r="BA30" s="61"/>
      <c r="BB30" s="61"/>
      <c r="BC30" s="61">
        <v>5</v>
      </c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>
        <v>92</v>
      </c>
      <c r="CH30" s="61">
        <v>61</v>
      </c>
      <c r="CI30" s="61">
        <v>18</v>
      </c>
      <c r="CJ30" s="61">
        <v>51</v>
      </c>
      <c r="CK30" s="61"/>
      <c r="CL30" s="61"/>
      <c r="CM30" s="61">
        <v>2</v>
      </c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>
        <v>200</v>
      </c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</row>
    <row r="31" spans="1:129" ht="34.5" customHeight="1">
      <c r="A31" s="167" t="s">
        <v>254</v>
      </c>
      <c r="B31" s="167"/>
      <c r="C31" s="167"/>
      <c r="D31" s="167"/>
      <c r="E31" s="168"/>
      <c r="F31" s="71" t="s">
        <v>198</v>
      </c>
      <c r="G31" s="78">
        <f>VLOOKUP(завтрак1,таб,5,FALSE)</f>
        <v>0</v>
      </c>
      <c r="H31" s="29">
        <f>VLOOKUP(завтрак2,таб,5,FALSE)</f>
        <v>0</v>
      </c>
      <c r="I31" s="28">
        <f>VLOOKUP(завтрак3,таб,5,FALSE)</f>
        <v>0</v>
      </c>
      <c r="J31" s="29">
        <f>VLOOKUP(завтрак4,таб,5,FALSE)</f>
        <v>0</v>
      </c>
      <c r="K31" s="28">
        <f>VLOOKUP(завтрак5,таб,5,FALSE)</f>
        <v>0</v>
      </c>
      <c r="L31" s="28">
        <f>VLOOKUP(завтрак6,таб,5,FALSE)</f>
        <v>0</v>
      </c>
      <c r="M31" s="28">
        <f>VLOOKUP(завтрак7,таб,5,FALSE)</f>
        <v>0</v>
      </c>
      <c r="N31" s="88">
        <f>VLOOKUP(завтрак8,таб,5,FALSE)</f>
        <v>0</v>
      </c>
      <c r="O31" s="30">
        <f>VLOOKUP(обед1,таб,5,FALSE)</f>
        <v>0</v>
      </c>
      <c r="P31" s="28">
        <f>VLOOKUP(обед2,таб,5,FALSE)</f>
        <v>0</v>
      </c>
      <c r="Q31" s="29">
        <f>VLOOKUP(обед3,таб,5,FALSE)</f>
        <v>0</v>
      </c>
      <c r="R31" s="28">
        <f>VLOOKUP(обед4,таб,5,FALSE)</f>
        <v>0</v>
      </c>
      <c r="S31" s="29">
        <f>VLOOKUP(обед5,таб,5,FALSE)</f>
        <v>0</v>
      </c>
      <c r="T31" s="28">
        <f>VLOOKUP(обед6,таб,5,FALSE)</f>
        <v>0</v>
      </c>
      <c r="U31" s="29">
        <f>VLOOKUP(обед7,таб,5,FALSE)</f>
        <v>0</v>
      </c>
      <c r="V31" s="28">
        <f>VLOOKUP(обед8,таб,5,FALSE)</f>
        <v>0</v>
      </c>
      <c r="W31" s="28">
        <f>VLOOKUP(полдник1,таб,5,FALSE)</f>
        <v>0</v>
      </c>
      <c r="X31" s="28">
        <f>VLOOKUP(полдник2,таб,5,FALSE)</f>
        <v>0</v>
      </c>
      <c r="Y31" s="88">
        <f>VLOOKUP(полдник3,таб,5,FALSE)</f>
        <v>0</v>
      </c>
      <c r="Z31" s="30">
        <f>VLOOKUP(ужин1,таб,5,FALSE)</f>
        <v>0</v>
      </c>
      <c r="AA31" s="29">
        <f>VLOOKUP(ужин2,таб,5,FALSE)</f>
        <v>0</v>
      </c>
      <c r="AB31" s="28">
        <f>VLOOKUP(ужин3,таб,5,FALSE)</f>
        <v>0</v>
      </c>
      <c r="AC31" s="29">
        <f>VLOOKUP(ужин4,таб,5,FALSE)</f>
        <v>0</v>
      </c>
      <c r="AD31" s="28">
        <f>VLOOKUP(ужин5,таб,5,FALSE)</f>
        <v>0</v>
      </c>
      <c r="AE31" s="29">
        <f>VLOOKUP(ужин6,таб,5,FALSE)</f>
        <v>0</v>
      </c>
      <c r="AF31" s="28">
        <f>VLOOKUP(ужин7,таб,5,FALSE)</f>
        <v>0</v>
      </c>
      <c r="AG31" s="88">
        <f>VLOOKUP(ужин8,таб,5,FALSE)</f>
        <v>0</v>
      </c>
      <c r="AH31" s="152">
        <v>610024</v>
      </c>
      <c r="AI31" s="161">
        <f>AK31/сред</f>
        <v>0</v>
      </c>
      <c r="AJ31" s="162"/>
      <c r="AK31" s="154">
        <f>SUM(G32:AG32)</f>
        <v>0</v>
      </c>
      <c r="AL31" s="154"/>
      <c r="AM31" s="213">
        <f>IF(AK31=0,0,AU117)</f>
        <v>0</v>
      </c>
      <c r="AN31" s="155">
        <f>AK31*AM31</f>
        <v>0</v>
      </c>
      <c r="AP31">
        <v>30</v>
      </c>
      <c r="AQ31" s="62" t="s">
        <v>93</v>
      </c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>
        <v>212</v>
      </c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>
        <v>200</v>
      </c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</row>
    <row r="32" spans="1:129" ht="34.5" customHeight="1">
      <c r="A32" s="167"/>
      <c r="B32" s="167"/>
      <c r="C32" s="167"/>
      <c r="D32" s="167"/>
      <c r="E32" s="168"/>
      <c r="F32" s="66" t="s">
        <v>199</v>
      </c>
      <c r="G32" s="79">
        <f aca="true" t="shared" si="11" ref="G32:N32">IF(G31=0,"",завтракл*G31/1000)</f>
      </c>
      <c r="H32" s="47">
        <f t="shared" si="11"/>
      </c>
      <c r="I32" s="46">
        <f t="shared" si="11"/>
      </c>
      <c r="J32" s="47">
        <f t="shared" si="11"/>
      </c>
      <c r="K32" s="46">
        <f t="shared" si="11"/>
      </c>
      <c r="L32" s="46">
        <f t="shared" si="11"/>
      </c>
      <c r="M32" s="46">
        <f t="shared" si="11"/>
      </c>
      <c r="N32" s="89">
        <f t="shared" si="11"/>
      </c>
      <c r="O32" s="48">
        <f aca="true" t="shared" si="12" ref="O32:T32">IF(O31=0,"",обідл*O31/1000)</f>
      </c>
      <c r="P32" s="46">
        <f t="shared" si="12"/>
      </c>
      <c r="Q32" s="47">
        <f t="shared" si="12"/>
      </c>
      <c r="R32" s="46">
        <f t="shared" si="12"/>
      </c>
      <c r="S32" s="47">
        <f t="shared" si="12"/>
      </c>
      <c r="T32" s="46">
        <f t="shared" si="12"/>
      </c>
      <c r="U32" s="47">
        <f>IF(U31=0,"",обідл*U31/1000)</f>
      </c>
      <c r="V32" s="46">
        <f>IF(V31=0,"",обідл*V31/1000)</f>
      </c>
      <c r="W32" s="46">
        <f>IF(W31=0,"",полдникл*W31/1000)</f>
      </c>
      <c r="X32" s="46">
        <f>IF(X31=0,"",полдникл*X31/1000)</f>
      </c>
      <c r="Y32" s="89">
        <f>IF(Y31=0,"",полдникл*Y31/1000)</f>
      </c>
      <c r="Z32" s="48">
        <f aca="true" t="shared" si="13" ref="Z32:AG32">IF(Z31=0,"",завтракл*Z31/1000)</f>
      </c>
      <c r="AA32" s="47">
        <f t="shared" si="13"/>
      </c>
      <c r="AB32" s="46">
        <f t="shared" si="13"/>
      </c>
      <c r="AC32" s="47">
        <f t="shared" si="13"/>
      </c>
      <c r="AD32" s="46">
        <f t="shared" si="13"/>
      </c>
      <c r="AE32" s="47">
        <f t="shared" si="13"/>
      </c>
      <c r="AF32" s="46">
        <f t="shared" si="13"/>
      </c>
      <c r="AG32" s="89">
        <f t="shared" si="13"/>
      </c>
      <c r="AH32" s="153"/>
      <c r="AI32" s="161"/>
      <c r="AJ32" s="162"/>
      <c r="AK32" s="154"/>
      <c r="AL32" s="154"/>
      <c r="AM32" s="214"/>
      <c r="AN32" s="156"/>
      <c r="AP32">
        <v>31</v>
      </c>
      <c r="AQ32" s="62" t="s">
        <v>8</v>
      </c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>
        <v>208</v>
      </c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>
        <v>200</v>
      </c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</row>
    <row r="33" spans="1:129" ht="34.5" customHeight="1">
      <c r="A33" s="167" t="s">
        <v>15</v>
      </c>
      <c r="B33" s="167"/>
      <c r="C33" s="167"/>
      <c r="D33" s="167"/>
      <c r="E33" s="168"/>
      <c r="F33" s="71" t="s">
        <v>198</v>
      </c>
      <c r="G33" s="78">
        <f>VLOOKUP(завтрак1,таб,6,FALSE)</f>
        <v>0</v>
      </c>
      <c r="H33" s="29">
        <f>VLOOKUP(завтрак2,таб,6,FALSE)</f>
        <v>40</v>
      </c>
      <c r="I33" s="28">
        <f>VLOOKUP(завтрак3,таб,6,FALSE)</f>
        <v>0</v>
      </c>
      <c r="J33" s="29">
        <f>VLOOKUP(завтрак4,таб,6,FALSE)</f>
        <v>0</v>
      </c>
      <c r="K33" s="28">
        <f>VLOOKUP(завтрак5,таб,6,FALSE)</f>
        <v>0</v>
      </c>
      <c r="L33" s="28">
        <f>VLOOKUP(завтрак6,таб,6,FALSE)</f>
        <v>0</v>
      </c>
      <c r="M33" s="28">
        <f>VLOOKUP(завтрак7,таб,6,FALSE)</f>
        <v>0</v>
      </c>
      <c r="N33" s="88">
        <f>VLOOKUP(завтрак8,таб,6,FALSE)</f>
        <v>0</v>
      </c>
      <c r="O33" s="30">
        <f>VLOOKUP(обед1,таб,6,FALSE)</f>
        <v>0</v>
      </c>
      <c r="P33" s="28">
        <f>VLOOKUP(обед2,таб,6,FALSE)</f>
        <v>0</v>
      </c>
      <c r="Q33" s="29">
        <f>VLOOKUP(обед3,таб,6,FALSE)</f>
        <v>0</v>
      </c>
      <c r="R33" s="28">
        <f>VLOOKUP(обед4,таб,6,FALSE)</f>
        <v>0</v>
      </c>
      <c r="S33" s="29">
        <f>VLOOKUP(обед5,таб,6,FALSE)</f>
        <v>0</v>
      </c>
      <c r="T33" s="28">
        <f>VLOOKUP(обед6,таб,6,FALSE)</f>
        <v>0</v>
      </c>
      <c r="U33" s="29">
        <f>VLOOKUP(обед7,таб,6,FALSE)</f>
        <v>0</v>
      </c>
      <c r="V33" s="28">
        <f>VLOOKUP(обед8,таб,6,FALSE)</f>
        <v>0</v>
      </c>
      <c r="W33" s="28">
        <f>VLOOKUP(полдник1,таб,6,FALSE)</f>
        <v>0</v>
      </c>
      <c r="X33" s="28">
        <f>VLOOKUP(полдник2,таб,6,FALSE)</f>
        <v>0</v>
      </c>
      <c r="Y33" s="88">
        <f>VLOOKUP(полдник3,таб,6,FALSE)</f>
        <v>0</v>
      </c>
      <c r="Z33" s="30">
        <f>VLOOKUP(ужин1,таб,6,FALSE)</f>
        <v>0</v>
      </c>
      <c r="AA33" s="29">
        <f>VLOOKUP(ужин2,таб,6,FALSE)</f>
        <v>0</v>
      </c>
      <c r="AB33" s="28">
        <f>VLOOKUP(ужин3,таб,6,FALSE)</f>
        <v>0</v>
      </c>
      <c r="AC33" s="29">
        <f>VLOOKUP(ужин4,таб,6,FALSE)</f>
        <v>0</v>
      </c>
      <c r="AD33" s="28">
        <f>VLOOKUP(ужин5,таб,6,FALSE)</f>
        <v>0</v>
      </c>
      <c r="AE33" s="29">
        <f>VLOOKUP(ужин6,таб,6,FALSE)</f>
        <v>0</v>
      </c>
      <c r="AF33" s="28">
        <f>VLOOKUP(ужин7,таб,6,FALSE)</f>
        <v>0</v>
      </c>
      <c r="AG33" s="88">
        <f>VLOOKUP(ужин8,таб,6,FALSE)</f>
        <v>0</v>
      </c>
      <c r="AH33" s="152">
        <v>610036</v>
      </c>
      <c r="AI33" s="161">
        <f>AK33/сред</f>
        <v>0.04</v>
      </c>
      <c r="AJ33" s="162"/>
      <c r="AK33" s="154">
        <f>SUM(G34:AG34)</f>
        <v>0.64</v>
      </c>
      <c r="AL33" s="154"/>
      <c r="AM33" s="213">
        <f>IF(AK33=0,0,AV117)</f>
        <v>92</v>
      </c>
      <c r="AN33" s="155">
        <f>AK33*AM33</f>
        <v>58.88</v>
      </c>
      <c r="AP33">
        <v>32</v>
      </c>
      <c r="AQ33" s="62" t="s">
        <v>9</v>
      </c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>
        <v>208</v>
      </c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>
        <v>200</v>
      </c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</row>
    <row r="34" spans="1:129" ht="34.5" customHeight="1">
      <c r="A34" s="167"/>
      <c r="B34" s="167"/>
      <c r="C34" s="167"/>
      <c r="D34" s="167"/>
      <c r="E34" s="168"/>
      <c r="F34" s="66" t="s">
        <v>199</v>
      </c>
      <c r="G34" s="79">
        <f aca="true" t="shared" si="14" ref="G34:N34">IF(G33=0,"",завтракл*G33/1000)</f>
      </c>
      <c r="H34" s="47">
        <f t="shared" si="14"/>
        <v>0.64</v>
      </c>
      <c r="I34" s="46">
        <f t="shared" si="14"/>
      </c>
      <c r="J34" s="47">
        <f t="shared" si="14"/>
      </c>
      <c r="K34" s="46">
        <f t="shared" si="14"/>
      </c>
      <c r="L34" s="46">
        <f t="shared" si="14"/>
      </c>
      <c r="M34" s="46">
        <f t="shared" si="14"/>
      </c>
      <c r="N34" s="89">
        <f t="shared" si="14"/>
      </c>
      <c r="O34" s="48">
        <f aca="true" t="shared" si="15" ref="O34:T34">IF(O33=0,"",обідл*O33/1000)</f>
      </c>
      <c r="P34" s="46">
        <f t="shared" si="15"/>
      </c>
      <c r="Q34" s="47">
        <f t="shared" si="15"/>
      </c>
      <c r="R34" s="46">
        <f t="shared" si="15"/>
      </c>
      <c r="S34" s="47">
        <f t="shared" si="15"/>
      </c>
      <c r="T34" s="46">
        <f t="shared" si="15"/>
      </c>
      <c r="U34" s="47">
        <f>IF(U33=0,"",обідл*U33/1000)</f>
      </c>
      <c r="V34" s="46">
        <f>IF(V33=0,"",обідл*V33/1000)</f>
      </c>
      <c r="W34" s="46">
        <f>IF(W33=0,"",полдникл*W33/1000)</f>
      </c>
      <c r="X34" s="46">
        <f>IF(X33=0,"",полдникл*X33/1000)</f>
      </c>
      <c r="Y34" s="89">
        <f>IF(Y33=0,"",полдникл*Y33/1000)</f>
      </c>
      <c r="Z34" s="48">
        <f aca="true" t="shared" si="16" ref="Z34:AG34">IF(Z33=0,"",ужинл*Z33/1000)</f>
      </c>
      <c r="AA34" s="47">
        <f t="shared" si="16"/>
      </c>
      <c r="AB34" s="46">
        <f t="shared" si="16"/>
      </c>
      <c r="AC34" s="47">
        <f t="shared" si="16"/>
      </c>
      <c r="AD34" s="46">
        <f t="shared" si="16"/>
      </c>
      <c r="AE34" s="47">
        <f t="shared" si="16"/>
      </c>
      <c r="AF34" s="46">
        <f t="shared" si="16"/>
      </c>
      <c r="AG34" s="89">
        <f t="shared" si="16"/>
      </c>
      <c r="AH34" s="153"/>
      <c r="AI34" s="161"/>
      <c r="AJ34" s="162"/>
      <c r="AK34" s="154"/>
      <c r="AL34" s="154"/>
      <c r="AM34" s="214"/>
      <c r="AN34" s="156"/>
      <c r="AP34">
        <v>33</v>
      </c>
      <c r="AQ34" s="62" t="s">
        <v>94</v>
      </c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>
        <v>100</v>
      </c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>
        <v>20</v>
      </c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>
        <v>2</v>
      </c>
      <c r="CX34" s="61"/>
      <c r="CY34" s="61"/>
      <c r="CZ34" s="61"/>
      <c r="DA34" s="61"/>
      <c r="DB34" s="61"/>
      <c r="DC34" s="61"/>
      <c r="DD34" s="61"/>
      <c r="DE34" s="61">
        <v>200</v>
      </c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</row>
    <row r="35" spans="1:129" ht="34.5" customHeight="1">
      <c r="A35" s="167" t="s">
        <v>339</v>
      </c>
      <c r="B35" s="167"/>
      <c r="C35" s="167"/>
      <c r="D35" s="167"/>
      <c r="E35" s="168"/>
      <c r="F35" s="71" t="s">
        <v>198</v>
      </c>
      <c r="G35" s="80">
        <f>VLOOKUP(завтрак1,таб,7,FALSE)</f>
        <v>0</v>
      </c>
      <c r="H35" s="29">
        <f>VLOOKUP(завтрак2,таб,7,FALSE)</f>
        <v>0</v>
      </c>
      <c r="I35" s="28">
        <f>VLOOKUP(завтрак3,таб,7,FALSE)</f>
        <v>0</v>
      </c>
      <c r="J35" s="29">
        <f>VLOOKUP(завтрак4,таб,7,FALSE)</f>
        <v>0</v>
      </c>
      <c r="K35" s="28">
        <f>VLOOKUP(завтрак5,таб,7,FALSE)</f>
        <v>0</v>
      </c>
      <c r="L35" s="28">
        <f>VLOOKUP(завтрак6,таб,7,FALSE)</f>
        <v>0</v>
      </c>
      <c r="M35" s="28">
        <f>VLOOKUP(завтрак7,таб,7,FALSE)</f>
        <v>0</v>
      </c>
      <c r="N35" s="88">
        <f>VLOOKUP(завтрак8,таб,7,FALSE)</f>
        <v>0</v>
      </c>
      <c r="O35" s="30">
        <f>VLOOKUP(обед1,таб,7,FALSE)</f>
        <v>0</v>
      </c>
      <c r="P35" s="28">
        <f>VLOOKUP(обед2,таб,7,FALSE)</f>
        <v>0</v>
      </c>
      <c r="Q35" s="29">
        <f>VLOOKUP(обед3,таб,7,FALSE)</f>
        <v>0</v>
      </c>
      <c r="R35" s="28">
        <f>VLOOKUP(обед4,таб,7,FALSE)</f>
        <v>0</v>
      </c>
      <c r="S35" s="29">
        <f>VLOOKUP(обед5,таб,7,FALSE)</f>
        <v>0</v>
      </c>
      <c r="T35" s="28">
        <f>VLOOKUP(обед6,таб,7,FALSE)</f>
        <v>0</v>
      </c>
      <c r="U35" s="29">
        <f>VLOOKUP(обед7,таб,7,FALSE)</f>
        <v>0</v>
      </c>
      <c r="V35" s="28">
        <f>VLOOKUP(обед8,таб,7,FALSE)</f>
        <v>0</v>
      </c>
      <c r="W35" s="28">
        <f>VLOOKUP(полдник1,таб,7,FALSE)</f>
        <v>0</v>
      </c>
      <c r="X35" s="28">
        <f>VLOOKUP(полдник2,таб,7,FALSE)</f>
        <v>0</v>
      </c>
      <c r="Y35" s="88">
        <f>VLOOKUP(полдник3,таб,7,FALSE)</f>
        <v>0</v>
      </c>
      <c r="Z35" s="30">
        <f>VLOOKUP(ужин1,таб,7,FALSE)</f>
        <v>0</v>
      </c>
      <c r="AA35" s="29">
        <f>VLOOKUP(ужин2,таб,7,FALSE)</f>
        <v>0</v>
      </c>
      <c r="AB35" s="28">
        <f>VLOOKUP(ужин3,таб,7,FALSE)</f>
        <v>0</v>
      </c>
      <c r="AC35" s="29">
        <f>VLOOKUP(ужин4,таб,7,FALSE)</f>
        <v>0</v>
      </c>
      <c r="AD35" s="28">
        <f>VLOOKUP(ужин5,таб,7,FALSE)</f>
        <v>0</v>
      </c>
      <c r="AE35" s="29">
        <f>VLOOKUP(ужин6,таб,7,FALSE)</f>
        <v>0</v>
      </c>
      <c r="AF35" s="28">
        <f>VLOOKUP(ужин7,таб,7,FALSE)</f>
        <v>0</v>
      </c>
      <c r="AG35" s="88">
        <f>VLOOKUP(ужин8,таб,7,FALSE)</f>
        <v>0</v>
      </c>
      <c r="AH35" s="152">
        <v>610052</v>
      </c>
      <c r="AI35" s="161">
        <f>AK35/сред</f>
        <v>0</v>
      </c>
      <c r="AJ35" s="162"/>
      <c r="AK35" s="154">
        <f>SUM(G36:AG36)</f>
        <v>0</v>
      </c>
      <c r="AL35" s="154"/>
      <c r="AM35" s="213">
        <f>IF(AK35=0,0,AW117)</f>
        <v>0</v>
      </c>
      <c r="AN35" s="155">
        <f>AK35*AM35</f>
        <v>0</v>
      </c>
      <c r="AP35">
        <v>34</v>
      </c>
      <c r="AQ35" s="62" t="s">
        <v>95</v>
      </c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>
        <v>36</v>
      </c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>
        <v>4</v>
      </c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>
        <v>2</v>
      </c>
      <c r="CX35" s="61"/>
      <c r="CY35" s="61"/>
      <c r="CZ35" s="61"/>
      <c r="DA35" s="61"/>
      <c r="DB35" s="61"/>
      <c r="DC35" s="61"/>
      <c r="DD35" s="61"/>
      <c r="DE35" s="61">
        <v>200</v>
      </c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</row>
    <row r="36" spans="1:129" ht="34.5" customHeight="1">
      <c r="A36" s="167"/>
      <c r="B36" s="167"/>
      <c r="C36" s="167"/>
      <c r="D36" s="167"/>
      <c r="E36" s="168"/>
      <c r="F36" s="66" t="s">
        <v>199</v>
      </c>
      <c r="G36" s="79">
        <f aca="true" t="shared" si="17" ref="G36:N36">IF(G35=0,"",завтракл*G35/1000)</f>
      </c>
      <c r="H36" s="47">
        <f t="shared" si="17"/>
      </c>
      <c r="I36" s="46">
        <f t="shared" si="17"/>
      </c>
      <c r="J36" s="47">
        <f t="shared" si="17"/>
      </c>
      <c r="K36" s="46">
        <f t="shared" si="17"/>
      </c>
      <c r="L36" s="46">
        <f t="shared" si="17"/>
      </c>
      <c r="M36" s="46">
        <f t="shared" si="17"/>
      </c>
      <c r="N36" s="89">
        <f t="shared" si="17"/>
      </c>
      <c r="O36" s="48">
        <f aca="true" t="shared" si="18" ref="O36:T36">IF(O35=0,"",обідл*O35/1000)</f>
      </c>
      <c r="P36" s="46">
        <f t="shared" si="18"/>
      </c>
      <c r="Q36" s="47">
        <f t="shared" si="18"/>
      </c>
      <c r="R36" s="46">
        <f t="shared" si="18"/>
      </c>
      <c r="S36" s="47">
        <f t="shared" si="18"/>
      </c>
      <c r="T36" s="46">
        <f t="shared" si="18"/>
      </c>
      <c r="U36" s="47">
        <f>IF(U35=0,"",обідл*U35/1000)</f>
      </c>
      <c r="V36" s="46">
        <f>IF(V35=0,"",обідл*V35/1000)</f>
      </c>
      <c r="W36" s="46">
        <f>IF(W35=0,"",полдникл*W35/1000)</f>
      </c>
      <c r="X36" s="46">
        <f>IF(X35=0,"",полдникл*X35/1000)</f>
      </c>
      <c r="Y36" s="89">
        <f>IF(Y35=0,"",полдникл*Y35/1000)</f>
      </c>
      <c r="Z36" s="50">
        <f aca="true" t="shared" si="19" ref="Z36:AG36">IF(Z35=0,"",ужинл*Z35/1000)</f>
      </c>
      <c r="AA36" s="47">
        <f t="shared" si="19"/>
      </c>
      <c r="AB36" s="46">
        <f t="shared" si="19"/>
      </c>
      <c r="AC36" s="47">
        <f t="shared" si="19"/>
      </c>
      <c r="AD36" s="46">
        <f t="shared" si="19"/>
      </c>
      <c r="AE36" s="47">
        <f t="shared" si="19"/>
      </c>
      <c r="AF36" s="46">
        <f t="shared" si="19"/>
      </c>
      <c r="AG36" s="89">
        <f t="shared" si="19"/>
      </c>
      <c r="AH36" s="153"/>
      <c r="AI36" s="161"/>
      <c r="AJ36" s="162"/>
      <c r="AK36" s="154"/>
      <c r="AL36" s="154"/>
      <c r="AM36" s="214"/>
      <c r="AN36" s="156"/>
      <c r="AP36">
        <v>35</v>
      </c>
      <c r="AQ36" s="62" t="s">
        <v>96</v>
      </c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>
        <v>100</v>
      </c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>
        <v>20</v>
      </c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>
        <v>2</v>
      </c>
      <c r="CW36" s="61"/>
      <c r="CX36" s="61"/>
      <c r="CY36" s="61"/>
      <c r="CZ36" s="61"/>
      <c r="DA36" s="61"/>
      <c r="DB36" s="61"/>
      <c r="DC36" s="61"/>
      <c r="DD36" s="61"/>
      <c r="DE36" s="61">
        <v>200</v>
      </c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</row>
    <row r="37" spans="1:129" ht="34.5" customHeight="1">
      <c r="A37" s="167" t="s">
        <v>17</v>
      </c>
      <c r="B37" s="167"/>
      <c r="C37" s="167"/>
      <c r="D37" s="167"/>
      <c r="E37" s="168"/>
      <c r="F37" s="71" t="s">
        <v>198</v>
      </c>
      <c r="G37" s="78">
        <f>VLOOKUP(завтрак1,таб,8,FALSE)</f>
        <v>0</v>
      </c>
      <c r="H37" s="29">
        <f>VLOOKUP(завтрак2,таб,8,FALSE)</f>
        <v>0</v>
      </c>
      <c r="I37" s="28">
        <f>VLOOKUP(завтрак3,таб,8,FALSE)</f>
        <v>0</v>
      </c>
      <c r="J37" s="29">
        <f>VLOOKUP(завтрак4,таб,8,FALSE)</f>
        <v>0</v>
      </c>
      <c r="K37" s="28">
        <f>VLOOKUP(завтрак5,таб,8,FALSE)</f>
        <v>0</v>
      </c>
      <c r="L37" s="28">
        <f>VLOOKUP(завтрак6,таб,8,FALSE)</f>
        <v>0</v>
      </c>
      <c r="M37" s="28">
        <f>VLOOKUP(завтрак7,таб,8,FALSE)</f>
        <v>0</v>
      </c>
      <c r="N37" s="88">
        <f>VLOOKUP(завтрак8,таб,8,FALSE)</f>
        <v>0</v>
      </c>
      <c r="O37" s="30">
        <f>VLOOKUP(обед1,таб,8,FALSE)</f>
        <v>0</v>
      </c>
      <c r="P37" s="28">
        <f>VLOOKUP(обед2,таб,8,FALSE)</f>
        <v>0</v>
      </c>
      <c r="Q37" s="29">
        <f>VLOOKUP(обед3,таб,8,FALSE)</f>
        <v>0</v>
      </c>
      <c r="R37" s="28">
        <f>VLOOKUP(обед4,таб,8,FALSE)</f>
        <v>0</v>
      </c>
      <c r="S37" s="29">
        <f>VLOOKUP(обед5,таб,8,FALSE)</f>
        <v>0</v>
      </c>
      <c r="T37" s="28">
        <f>VLOOKUP(обед6,таб,8,FALSE)</f>
        <v>0</v>
      </c>
      <c r="U37" s="29">
        <f>VLOOKUP(обед7,таб,8,FALSE)</f>
        <v>0</v>
      </c>
      <c r="V37" s="28">
        <f>VLOOKUP(обед8,таб,8,FALSE)</f>
        <v>0</v>
      </c>
      <c r="W37" s="28">
        <f>VLOOKUP(полдник1,таб,8,FALSE)</f>
        <v>0</v>
      </c>
      <c r="X37" s="28">
        <f>VLOOKUP(полдник2,таб,8,FALSE)</f>
        <v>0</v>
      </c>
      <c r="Y37" s="88">
        <f>VLOOKUP(полдник3,таб,8,FALSE)</f>
        <v>0</v>
      </c>
      <c r="Z37" s="30">
        <f>VLOOKUP(ужин1,таб,8,FALSE)</f>
        <v>0</v>
      </c>
      <c r="AA37" s="29">
        <f>VLOOKUP(ужин2,таб,8,FALSE)</f>
        <v>120</v>
      </c>
      <c r="AB37" s="28">
        <f>VLOOKUP(ужин3,таб,8,FALSE)</f>
        <v>0</v>
      </c>
      <c r="AC37" s="29">
        <f>VLOOKUP(ужин4,таб,8,FALSE)</f>
        <v>0</v>
      </c>
      <c r="AD37" s="28">
        <f>VLOOKUP(ужин5,таб,8,FALSE)</f>
        <v>0</v>
      </c>
      <c r="AE37" s="29">
        <f>VLOOKUP(ужин6,таб,8,FALSE)</f>
        <v>0</v>
      </c>
      <c r="AF37" s="28">
        <f>VLOOKUP(ужин7,таб,8,FALSE)</f>
        <v>0</v>
      </c>
      <c r="AG37" s="88">
        <f>VLOOKUP(ужин8,таб,8,FALSE)</f>
        <v>0</v>
      </c>
      <c r="AH37" s="152">
        <v>611008</v>
      </c>
      <c r="AI37" s="161">
        <f>AK37/сред</f>
        <v>0.12</v>
      </c>
      <c r="AJ37" s="162"/>
      <c r="AK37" s="154">
        <f>SUM(G38:AG38)</f>
        <v>1.92</v>
      </c>
      <c r="AL37" s="154"/>
      <c r="AM37" s="213">
        <f>IF(AK37=0,0,AX117)</f>
        <v>85</v>
      </c>
      <c r="AN37" s="155">
        <f>AK37*AM37</f>
        <v>163.2</v>
      </c>
      <c r="AP37">
        <v>36</v>
      </c>
      <c r="AQ37" s="62" t="s">
        <v>97</v>
      </c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>
        <v>40</v>
      </c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>
        <v>2</v>
      </c>
      <c r="CW37" s="61"/>
      <c r="CX37" s="61"/>
      <c r="CY37" s="61"/>
      <c r="CZ37" s="61"/>
      <c r="DA37" s="61"/>
      <c r="DB37" s="61"/>
      <c r="DC37" s="61"/>
      <c r="DD37" s="61"/>
      <c r="DE37" s="61">
        <v>200</v>
      </c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</row>
    <row r="38" spans="1:129" ht="34.5" customHeight="1">
      <c r="A38" s="167"/>
      <c r="B38" s="167"/>
      <c r="C38" s="167"/>
      <c r="D38" s="167"/>
      <c r="E38" s="168"/>
      <c r="F38" s="66" t="s">
        <v>199</v>
      </c>
      <c r="G38" s="79">
        <f aca="true" t="shared" si="20" ref="G38:N38">IF(G37=0,"",завтракл*G37/1000)</f>
      </c>
      <c r="H38" s="47">
        <f t="shared" si="20"/>
      </c>
      <c r="I38" s="46">
        <f t="shared" si="20"/>
      </c>
      <c r="J38" s="47">
        <f t="shared" si="20"/>
      </c>
      <c r="K38" s="46">
        <f t="shared" si="20"/>
      </c>
      <c r="L38" s="46">
        <f t="shared" si="20"/>
      </c>
      <c r="M38" s="46">
        <f t="shared" si="20"/>
      </c>
      <c r="N38" s="89">
        <f t="shared" si="20"/>
      </c>
      <c r="O38" s="48">
        <f aca="true" t="shared" si="21" ref="O38:T38">IF(O37=0,"",обідл*O37/1000)</f>
      </c>
      <c r="P38" s="46">
        <f t="shared" si="21"/>
      </c>
      <c r="Q38" s="47">
        <f t="shared" si="21"/>
      </c>
      <c r="R38" s="46">
        <f t="shared" si="21"/>
      </c>
      <c r="S38" s="47">
        <f t="shared" si="21"/>
      </c>
      <c r="T38" s="46">
        <f t="shared" si="21"/>
      </c>
      <c r="U38" s="47">
        <f>IF(U37=0,"",обідл*U37/1000)</f>
      </c>
      <c r="V38" s="46">
        <f>IF(V37=0,"",обідл*V37/1000)</f>
      </c>
      <c r="W38" s="46">
        <f>IF(W37=0,"",полдникл*W37/1000)</f>
      </c>
      <c r="X38" s="46">
        <f>IF(X37=0,"",полдникл*X37/1000)</f>
      </c>
      <c r="Y38" s="89">
        <f>IF(Y37=0,"",полдникл*Y37/1000)</f>
      </c>
      <c r="Z38" s="48">
        <f aca="true" t="shared" si="22" ref="Z38:AG38">IF(Z37=0,"",ужинл*Z37/1000)</f>
      </c>
      <c r="AA38" s="47">
        <f t="shared" si="22"/>
        <v>1.92</v>
      </c>
      <c r="AB38" s="46">
        <f t="shared" si="22"/>
      </c>
      <c r="AC38" s="47">
        <f t="shared" si="22"/>
      </c>
      <c r="AD38" s="46">
        <f t="shared" si="22"/>
      </c>
      <c r="AE38" s="47">
        <f t="shared" si="22"/>
      </c>
      <c r="AF38" s="46">
        <f t="shared" si="22"/>
      </c>
      <c r="AG38" s="89">
        <f t="shared" si="22"/>
      </c>
      <c r="AH38" s="153"/>
      <c r="AI38" s="161"/>
      <c r="AJ38" s="162"/>
      <c r="AK38" s="154"/>
      <c r="AL38" s="154"/>
      <c r="AM38" s="214"/>
      <c r="AN38" s="156"/>
      <c r="AP38">
        <v>37</v>
      </c>
      <c r="AQ38" s="62" t="s">
        <v>98</v>
      </c>
      <c r="AR38" s="61"/>
      <c r="AS38" s="61"/>
      <c r="AT38" s="61"/>
      <c r="AU38" s="61"/>
      <c r="AV38" s="61"/>
      <c r="AW38" s="61"/>
      <c r="AX38" s="61"/>
      <c r="AY38" s="61"/>
      <c r="AZ38" s="61">
        <v>3</v>
      </c>
      <c r="BA38" s="61"/>
      <c r="BB38" s="61"/>
      <c r="BC38" s="61"/>
      <c r="BD38" s="61">
        <v>150</v>
      </c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>
        <v>16</v>
      </c>
      <c r="BT38" s="61"/>
      <c r="BU38" s="61"/>
      <c r="BV38" s="61"/>
      <c r="BW38" s="61">
        <v>10</v>
      </c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>
        <v>200</v>
      </c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</row>
    <row r="39" spans="1:129" ht="34.5" customHeight="1">
      <c r="A39" s="167" t="s">
        <v>255</v>
      </c>
      <c r="B39" s="167"/>
      <c r="C39" s="167"/>
      <c r="D39" s="167"/>
      <c r="E39" s="168"/>
      <c r="F39" s="71" t="s">
        <v>198</v>
      </c>
      <c r="G39" s="78">
        <f>VLOOKUP(завтрак1,таб,9,FALSE)</f>
        <v>0</v>
      </c>
      <c r="H39" s="29">
        <f>VLOOKUP(завтрак2,таб,9,FALSE)</f>
        <v>0</v>
      </c>
      <c r="I39" s="28">
        <f>VLOOKUP(завтрак3,таб,9,FALSE)</f>
        <v>0</v>
      </c>
      <c r="J39" s="29">
        <f>VLOOKUP(завтрак4,таб,9,FALSE)</f>
        <v>0</v>
      </c>
      <c r="K39" s="28">
        <f>VLOOKUP(завтрак5,таб,9,FALSE)</f>
        <v>0</v>
      </c>
      <c r="L39" s="28">
        <f>VLOOKUP(завтрак6,таб,9,FALSE)</f>
        <v>0</v>
      </c>
      <c r="M39" s="28">
        <f>VLOOKUP(завтрак7,таб,9,FALSE)</f>
        <v>0</v>
      </c>
      <c r="N39" s="88">
        <f>VLOOKUP(завтрак8,таб,9,FALSE)</f>
        <v>0</v>
      </c>
      <c r="O39" s="30">
        <f>VLOOKUP(обед1,таб,9,FALSE)</f>
        <v>0</v>
      </c>
      <c r="P39" s="28">
        <f>VLOOKUP(обед2,таб,9,FALSE)</f>
        <v>0</v>
      </c>
      <c r="Q39" s="29">
        <f>VLOOKUP(обед3,таб,9,FALSE)</f>
        <v>0</v>
      </c>
      <c r="R39" s="28">
        <f>VLOOKUP(обед4,таб,9,FALSE)</f>
        <v>0</v>
      </c>
      <c r="S39" s="29">
        <f>VLOOKUP(обед5,таб,9,FALSE)</f>
        <v>0</v>
      </c>
      <c r="T39" s="28">
        <f>VLOOKUP(обед6,таб,9,FALSE)</f>
        <v>0</v>
      </c>
      <c r="U39" s="29">
        <f>VLOOKUP(обед7,таб,9,FALSE)</f>
        <v>0</v>
      </c>
      <c r="V39" s="28">
        <f>VLOOKUP(обед8,таб,9,FALSE)</f>
        <v>0</v>
      </c>
      <c r="W39" s="28">
        <f>VLOOKUP(полдник1,таб,9,FALSE)</f>
        <v>0</v>
      </c>
      <c r="X39" s="28">
        <f>VLOOKUP(полдник2,таб,9,FALSE)</f>
        <v>0</v>
      </c>
      <c r="Y39" s="88">
        <f>VLOOKUP(полдник3,таб,9,FALSE)</f>
        <v>0</v>
      </c>
      <c r="Z39" s="30">
        <f>VLOOKUP(ужин1,таб,9,FALSE)</f>
        <v>0</v>
      </c>
      <c r="AA39" s="29">
        <f>VLOOKUP(ужин2,таб,9,FALSE)</f>
        <v>0</v>
      </c>
      <c r="AB39" s="28">
        <f>VLOOKUP(ужин3,таб,9,FALSE)</f>
        <v>0</v>
      </c>
      <c r="AC39" s="29">
        <f>VLOOKUP(ужин4,таб,9,FALSE)</f>
        <v>0</v>
      </c>
      <c r="AD39" s="28">
        <f>VLOOKUP(ужин5,таб,9,FALSE)</f>
        <v>0</v>
      </c>
      <c r="AE39" s="29">
        <f>VLOOKUP(ужин6,таб,9,FALSE)</f>
        <v>0</v>
      </c>
      <c r="AF39" s="28">
        <f>VLOOKUP(ужин7,таб,9,FALSE)</f>
        <v>0</v>
      </c>
      <c r="AG39" s="88">
        <f>VLOOKUP(ужин8,таб,9,FALSE)</f>
        <v>0</v>
      </c>
      <c r="AH39" s="152">
        <v>611017</v>
      </c>
      <c r="AI39" s="161">
        <f>AK39/сред</f>
        <v>0</v>
      </c>
      <c r="AJ39" s="162"/>
      <c r="AK39" s="154">
        <f>SUM(G40:AG40)</f>
        <v>0</v>
      </c>
      <c r="AL39" s="154"/>
      <c r="AM39" s="213">
        <f>IF(AK39=0,0,AY117)</f>
        <v>0</v>
      </c>
      <c r="AN39" s="155">
        <f>AK39*AM39</f>
        <v>0</v>
      </c>
      <c r="AP39">
        <v>38</v>
      </c>
      <c r="AQ39" s="62" t="s">
        <v>99</v>
      </c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>
        <v>1</v>
      </c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 t="s">
        <v>101</v>
      </c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</row>
    <row r="40" spans="1:129" ht="34.5" customHeight="1">
      <c r="A40" s="167"/>
      <c r="B40" s="167"/>
      <c r="C40" s="167"/>
      <c r="D40" s="167"/>
      <c r="E40" s="168"/>
      <c r="F40" s="66" t="s">
        <v>199</v>
      </c>
      <c r="G40" s="79">
        <f aca="true" t="shared" si="23" ref="G40:N40">IF(G39=0,"",завтракл*G39/1000)</f>
      </c>
      <c r="H40" s="47">
        <f t="shared" si="23"/>
      </c>
      <c r="I40" s="46">
        <f t="shared" si="23"/>
      </c>
      <c r="J40" s="47">
        <f t="shared" si="23"/>
      </c>
      <c r="K40" s="46">
        <f t="shared" si="23"/>
      </c>
      <c r="L40" s="46">
        <f t="shared" si="23"/>
      </c>
      <c r="M40" s="46">
        <f t="shared" si="23"/>
      </c>
      <c r="N40" s="89">
        <f t="shared" si="23"/>
      </c>
      <c r="O40" s="48">
        <f aca="true" t="shared" si="24" ref="O40:T40">IF(O39=0,"",обідл*O39/1000)</f>
      </c>
      <c r="P40" s="46">
        <f t="shared" si="24"/>
      </c>
      <c r="Q40" s="47">
        <f t="shared" si="24"/>
      </c>
      <c r="R40" s="46">
        <f t="shared" si="24"/>
      </c>
      <c r="S40" s="47">
        <f t="shared" si="24"/>
      </c>
      <c r="T40" s="46">
        <f t="shared" si="24"/>
      </c>
      <c r="U40" s="47">
        <f>IF(U39=0,"",обідл*U39/1000)</f>
      </c>
      <c r="V40" s="46">
        <f>IF(V39=0,"",обідл*V39/1000)</f>
      </c>
      <c r="W40" s="46">
        <f>IF(W39=0,"",полдникл*W39/1000)</f>
      </c>
      <c r="X40" s="46">
        <f>IF(X39=0,"",полдникл*X39/1000)</f>
      </c>
      <c r="Y40" s="89">
        <f>IF(Y39=0,"",полдникл*Y39/1000)</f>
      </c>
      <c r="Z40" s="48">
        <f aca="true" t="shared" si="25" ref="Z40:AG40">IF(Z39=0,"",ужинл*Z39/1000)</f>
      </c>
      <c r="AA40" s="47">
        <f t="shared" si="25"/>
      </c>
      <c r="AB40" s="46">
        <f t="shared" si="25"/>
      </c>
      <c r="AC40" s="47">
        <f t="shared" si="25"/>
      </c>
      <c r="AD40" s="46">
        <f t="shared" si="25"/>
      </c>
      <c r="AE40" s="47">
        <f t="shared" si="25"/>
      </c>
      <c r="AF40" s="46">
        <f t="shared" si="25"/>
      </c>
      <c r="AG40" s="89">
        <f t="shared" si="25"/>
      </c>
      <c r="AH40" s="153"/>
      <c r="AI40" s="161"/>
      <c r="AJ40" s="162"/>
      <c r="AK40" s="154"/>
      <c r="AL40" s="154"/>
      <c r="AM40" s="214"/>
      <c r="AN40" s="156"/>
      <c r="AP40">
        <v>39</v>
      </c>
      <c r="AQ40" s="62" t="s">
        <v>100</v>
      </c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>
        <v>15</v>
      </c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>
        <v>1</v>
      </c>
      <c r="CY40" s="61"/>
      <c r="CZ40" s="61"/>
      <c r="DA40" s="61"/>
      <c r="DB40" s="61"/>
      <c r="DC40" s="61"/>
      <c r="DD40" s="61"/>
      <c r="DE40" s="61">
        <v>200</v>
      </c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</row>
    <row r="41" spans="1:129" ht="34.5" customHeight="1">
      <c r="A41" s="167" t="s">
        <v>18</v>
      </c>
      <c r="B41" s="167"/>
      <c r="C41" s="167"/>
      <c r="D41" s="167"/>
      <c r="E41" s="168"/>
      <c r="F41" s="71" t="s">
        <v>198</v>
      </c>
      <c r="G41" s="78">
        <v>8</v>
      </c>
      <c r="H41" s="29">
        <f>VLOOKUP(завтрак2,таб,10,FALSE)</f>
        <v>0</v>
      </c>
      <c r="I41" s="28">
        <f>VLOOKUP(завтрак3,таб,10,FALSE)</f>
        <v>15</v>
      </c>
      <c r="J41" s="29">
        <f>VLOOKUP(завтрак4,таб,10,FALSE)</f>
        <v>0</v>
      </c>
      <c r="K41" s="28">
        <f>VLOOKUP(завтрак5,таб,10,FALSE)</f>
        <v>0</v>
      </c>
      <c r="L41" s="28">
        <f>VLOOKUP(завтрак6,таб,10,FALSE)</f>
        <v>0</v>
      </c>
      <c r="M41" s="28">
        <f>VLOOKUP(завтрак7,таб,10,FALSE)</f>
        <v>0</v>
      </c>
      <c r="N41" s="88">
        <f>VLOOKUP(завтрак8,таб,10,FALSE)</f>
        <v>0</v>
      </c>
      <c r="O41" s="30">
        <v>8</v>
      </c>
      <c r="P41" s="28">
        <v>5</v>
      </c>
      <c r="Q41" s="29">
        <f>VLOOKUP(обед3,таб,10,FALSE)</f>
        <v>0</v>
      </c>
      <c r="R41" s="28">
        <f>VLOOKUP(обед4,таб,10,FALSE)</f>
        <v>0</v>
      </c>
      <c r="S41" s="29">
        <f>VLOOKUP(обед5,таб,10,FALSE)</f>
        <v>0</v>
      </c>
      <c r="T41" s="28">
        <f>VLOOKUP(обед6,таб,10,FALSE)</f>
        <v>0</v>
      </c>
      <c r="U41" s="29">
        <f>VLOOKUP(обед7,таб,10,FALSE)</f>
        <v>0</v>
      </c>
      <c r="V41" s="28">
        <f>VLOOKUP(обед8,таб,10,FALSE)</f>
        <v>0</v>
      </c>
      <c r="W41" s="28">
        <f>VLOOKUP(полдник1,таб,10,FALSE)</f>
        <v>0</v>
      </c>
      <c r="X41" s="28">
        <f>VLOOKUP(полдник2,таб,10,FALSE)</f>
        <v>0</v>
      </c>
      <c r="Y41" s="88">
        <f>VLOOKUP(полдник3,таб,10,FALSE)</f>
        <v>0</v>
      </c>
      <c r="Z41" s="30">
        <v>9</v>
      </c>
      <c r="AA41" s="29">
        <f>VLOOKUP(ужин2,таб,10,FALSE)</f>
        <v>0</v>
      </c>
      <c r="AB41" s="28">
        <f>VLOOKUP(ужин3,таб,10,FALSE)</f>
        <v>0</v>
      </c>
      <c r="AC41" s="29">
        <f>VLOOKUP(ужин4,таб,10,FALSE)</f>
        <v>0</v>
      </c>
      <c r="AD41" s="28">
        <f>VLOOKUP(ужин5,таб,10,FALSE)</f>
        <v>0</v>
      </c>
      <c r="AE41" s="29">
        <f>VLOOKUP(ужин6,таб,10,FALSE)</f>
        <v>0</v>
      </c>
      <c r="AF41" s="28">
        <f>VLOOKUP(ужин7,таб,10,FALSE)</f>
        <v>0</v>
      </c>
      <c r="AG41" s="88">
        <f>VLOOKUP(ужин8,таб,10,FALSE)</f>
        <v>0</v>
      </c>
      <c r="AH41" s="152">
        <v>612001</v>
      </c>
      <c r="AI41" s="161">
        <f>AK41/сред</f>
        <v>0.045</v>
      </c>
      <c r="AJ41" s="162"/>
      <c r="AK41" s="154">
        <f>SUM(G42:AG42)</f>
        <v>0.72</v>
      </c>
      <c r="AL41" s="154"/>
      <c r="AM41" s="213">
        <f>IF(AK41=0,0,AZ117)</f>
        <v>205.5</v>
      </c>
      <c r="AN41" s="155">
        <f>AK41*AM41</f>
        <v>147.96</v>
      </c>
      <c r="AP41">
        <v>40</v>
      </c>
      <c r="AQ41" s="62" t="s">
        <v>102</v>
      </c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>
        <v>15</v>
      </c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>
        <v>1</v>
      </c>
      <c r="CY41" s="61"/>
      <c r="CZ41" s="61"/>
      <c r="DA41" s="61"/>
      <c r="DB41" s="61"/>
      <c r="DC41" s="61"/>
      <c r="DD41" s="61"/>
      <c r="DE41" s="61" t="s">
        <v>294</v>
      </c>
      <c r="DF41" s="61"/>
      <c r="DG41" s="61"/>
      <c r="DH41" s="61">
        <v>7</v>
      </c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</row>
    <row r="42" spans="1:129" ht="34.5" customHeight="1">
      <c r="A42" s="167"/>
      <c r="B42" s="167"/>
      <c r="C42" s="167"/>
      <c r="D42" s="167"/>
      <c r="E42" s="168"/>
      <c r="F42" s="66" t="s">
        <v>199</v>
      </c>
      <c r="G42" s="79">
        <f aca="true" t="shared" si="26" ref="G42:N42">IF(G41=0,"",завтракл*G41/1000)</f>
        <v>0.128</v>
      </c>
      <c r="H42" s="47">
        <f t="shared" si="26"/>
      </c>
      <c r="I42" s="46">
        <f t="shared" si="26"/>
        <v>0.24</v>
      </c>
      <c r="J42" s="47">
        <f t="shared" si="26"/>
      </c>
      <c r="K42" s="46">
        <f t="shared" si="26"/>
      </c>
      <c r="L42" s="46">
        <f t="shared" si="26"/>
      </c>
      <c r="M42" s="46">
        <f t="shared" si="26"/>
      </c>
      <c r="N42" s="89">
        <f t="shared" si="26"/>
      </c>
      <c r="O42" s="48">
        <f aca="true" t="shared" si="27" ref="O42:T42">IF(O41=0,"",обідл*O41/1000)</f>
        <v>0.128</v>
      </c>
      <c r="P42" s="46">
        <f t="shared" si="27"/>
        <v>0.08</v>
      </c>
      <c r="Q42" s="47">
        <f t="shared" si="27"/>
      </c>
      <c r="R42" s="46">
        <f t="shared" si="27"/>
      </c>
      <c r="S42" s="47">
        <f t="shared" si="27"/>
      </c>
      <c r="T42" s="46">
        <f t="shared" si="27"/>
      </c>
      <c r="U42" s="47">
        <f>IF(U41=0,"",обідл*U41/1000)</f>
      </c>
      <c r="V42" s="46">
        <f>IF(V41=0,"",обідл*V41/1000)</f>
      </c>
      <c r="W42" s="46">
        <f>IF(W41=0,"",полдникл*W41/1000)</f>
      </c>
      <c r="X42" s="46">
        <f>IF(X41=0,"",полдникл*X41/1000)</f>
      </c>
      <c r="Y42" s="89">
        <f>IF(Y41=0,"",полдникл*Y41/1000)</f>
      </c>
      <c r="Z42" s="48">
        <f aca="true" t="shared" si="28" ref="Z42:AG42">IF(Z41=0,"",ужинл*Z41/1000)</f>
        <v>0.144</v>
      </c>
      <c r="AA42" s="47">
        <f t="shared" si="28"/>
      </c>
      <c r="AB42" s="46">
        <f t="shared" si="28"/>
      </c>
      <c r="AC42" s="47">
        <f t="shared" si="28"/>
      </c>
      <c r="AD42" s="46">
        <f t="shared" si="28"/>
      </c>
      <c r="AE42" s="47">
        <f t="shared" si="28"/>
      </c>
      <c r="AF42" s="46">
        <f t="shared" si="28"/>
      </c>
      <c r="AG42" s="89">
        <f t="shared" si="28"/>
      </c>
      <c r="AH42" s="153"/>
      <c r="AI42" s="161"/>
      <c r="AJ42" s="162"/>
      <c r="AK42" s="154"/>
      <c r="AL42" s="154"/>
      <c r="AM42" s="214"/>
      <c r="AN42" s="156"/>
      <c r="AP42">
        <v>41</v>
      </c>
      <c r="AQ42" s="62" t="s">
        <v>104</v>
      </c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>
        <v>40</v>
      </c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>
        <v>15</v>
      </c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>
        <v>1</v>
      </c>
      <c r="CY42" s="61"/>
      <c r="CZ42" s="61"/>
      <c r="DA42" s="61"/>
      <c r="DB42" s="61"/>
      <c r="DC42" s="61"/>
      <c r="DD42" s="61"/>
      <c r="DE42" s="61">
        <v>200</v>
      </c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</row>
    <row r="43" spans="1:129" ht="34.5" customHeight="1">
      <c r="A43" s="167" t="s">
        <v>19</v>
      </c>
      <c r="B43" s="167"/>
      <c r="C43" s="167"/>
      <c r="D43" s="167"/>
      <c r="E43" s="168"/>
      <c r="F43" s="71" t="s">
        <v>198</v>
      </c>
      <c r="G43" s="78">
        <f>VLOOKUP(завтрак1,таб,11,FALSE)</f>
        <v>0</v>
      </c>
      <c r="H43" s="29">
        <f>VLOOKUP(завтрак2,таб,11,FALSE)</f>
        <v>0</v>
      </c>
      <c r="I43" s="28">
        <f>VLOOKUP(завтрак3,таб,11,FALSE)</f>
        <v>0</v>
      </c>
      <c r="J43" s="29">
        <f>VLOOKUP(завтрак4,таб,11,FALSE)</f>
        <v>0</v>
      </c>
      <c r="K43" s="28">
        <f>VLOOKUP(завтрак5,таб,11,FALSE)</f>
        <v>0</v>
      </c>
      <c r="L43" s="28">
        <f>VLOOKUP(завтрак6,таб,11,FALSE)</f>
        <v>0</v>
      </c>
      <c r="M43" s="28">
        <f>VLOOKUP(завтрак7,таб,11,FALSE)</f>
        <v>0</v>
      </c>
      <c r="N43" s="88">
        <f>VLOOKUP(завтрак8,таб,11,FALSE)</f>
        <v>0</v>
      </c>
      <c r="O43" s="30">
        <f>VLOOKUP(обед1,таб,11,FALSE)</f>
        <v>0</v>
      </c>
      <c r="P43" s="28">
        <f>VLOOKUP(обед2,таб,11,FALSE)</f>
        <v>0</v>
      </c>
      <c r="Q43" s="29">
        <f>VLOOKUP(обед3,таб,11,FALSE)</f>
        <v>0</v>
      </c>
      <c r="R43" s="28">
        <f>VLOOKUP(обед4,таб,11,FALSE)</f>
        <v>0</v>
      </c>
      <c r="S43" s="29">
        <f>VLOOKUP(обед5,таб,11,FALSE)</f>
        <v>0</v>
      </c>
      <c r="T43" s="28">
        <f>VLOOKUP(обед6,таб,11,FALSE)</f>
        <v>0</v>
      </c>
      <c r="U43" s="29">
        <f>VLOOKUP(обед7,таб,11,FALSE)</f>
        <v>0</v>
      </c>
      <c r="V43" s="28">
        <f>VLOOKUP(обед8,таб,11,FALSE)</f>
        <v>0</v>
      </c>
      <c r="W43" s="28">
        <f>VLOOKUP(полдник1,таб,11,FALSE)</f>
        <v>0</v>
      </c>
      <c r="X43" s="28">
        <f>VLOOKUP(полдник2,таб,11,FALSE)</f>
        <v>0</v>
      </c>
      <c r="Y43" s="88">
        <f>VLOOKUP(полдник3,таб,11,FALSE)</f>
        <v>0</v>
      </c>
      <c r="Z43" s="30">
        <f>VLOOKUP(ужин1,таб,11,FALSE)</f>
        <v>0</v>
      </c>
      <c r="AA43" s="29">
        <f>VLOOKUP(ужин2,таб,11,FALSE)</f>
        <v>0</v>
      </c>
      <c r="AB43" s="28">
        <f>VLOOKUP(ужин3,таб,11,FALSE)</f>
        <v>0</v>
      </c>
      <c r="AC43" s="29">
        <f>VLOOKUP(ужин4,таб,11,FALSE)</f>
        <v>0</v>
      </c>
      <c r="AD43" s="28">
        <f>VLOOKUP(ужин5,таб,11,FALSE)</f>
        <v>0</v>
      </c>
      <c r="AE43" s="29">
        <f>VLOOKUP(ужин6,таб,11,FALSE)</f>
        <v>0</v>
      </c>
      <c r="AF43" s="28">
        <f>VLOOKUP(ужин7,таб,11,FALSE)</f>
        <v>0</v>
      </c>
      <c r="AG43" s="88">
        <f>VLOOKUP(ужин8,таб,11,FALSE)</f>
        <v>0</v>
      </c>
      <c r="AH43" s="152">
        <v>612002</v>
      </c>
      <c r="AI43" s="161">
        <f>AK43/сред</f>
        <v>0</v>
      </c>
      <c r="AJ43" s="162"/>
      <c r="AK43" s="154">
        <f>SUM(G44:AG44)</f>
        <v>0</v>
      </c>
      <c r="AL43" s="154"/>
      <c r="AM43" s="213">
        <f>IF(AK43=0,0,BA117)</f>
        <v>0</v>
      </c>
      <c r="AN43" s="155">
        <f>AK43*AM43</f>
        <v>0</v>
      </c>
      <c r="AP43">
        <v>42</v>
      </c>
      <c r="AQ43" s="62" t="s">
        <v>105</v>
      </c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>
        <v>20</v>
      </c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>
        <v>1</v>
      </c>
      <c r="CY43" s="61"/>
      <c r="CZ43" s="61"/>
      <c r="DA43" s="61"/>
      <c r="DB43" s="61"/>
      <c r="DC43" s="61"/>
      <c r="DD43" s="61"/>
      <c r="DE43" s="61">
        <v>200</v>
      </c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</row>
    <row r="44" spans="1:129" ht="34.5" customHeight="1">
      <c r="A44" s="167"/>
      <c r="B44" s="167"/>
      <c r="C44" s="167"/>
      <c r="D44" s="167"/>
      <c r="E44" s="168"/>
      <c r="F44" s="66" t="s">
        <v>199</v>
      </c>
      <c r="G44" s="79">
        <f aca="true" t="shared" si="29" ref="G44:N44">IF(G43=0,"",завтракл*G43/1000)</f>
      </c>
      <c r="H44" s="47">
        <f t="shared" si="29"/>
      </c>
      <c r="I44" s="46">
        <f t="shared" si="29"/>
      </c>
      <c r="J44" s="47">
        <f t="shared" si="29"/>
      </c>
      <c r="K44" s="46">
        <f t="shared" si="29"/>
      </c>
      <c r="L44" s="46">
        <f t="shared" si="29"/>
      </c>
      <c r="M44" s="46">
        <f t="shared" si="29"/>
      </c>
      <c r="N44" s="89">
        <f t="shared" si="29"/>
      </c>
      <c r="O44" s="48">
        <f aca="true" t="shared" si="30" ref="O44:T44">IF(O43=0,"",обідл*O43/1000)</f>
      </c>
      <c r="P44" s="46">
        <f t="shared" si="30"/>
      </c>
      <c r="Q44" s="47">
        <f t="shared" si="30"/>
      </c>
      <c r="R44" s="46">
        <f t="shared" si="30"/>
      </c>
      <c r="S44" s="47">
        <f t="shared" si="30"/>
      </c>
      <c r="T44" s="46">
        <f t="shared" si="30"/>
      </c>
      <c r="U44" s="47">
        <f>IF(U43=0,"",обідл*U43/1000)</f>
      </c>
      <c r="V44" s="46">
        <f>IF(V43=0,"",обідл*V43/1000)</f>
      </c>
      <c r="W44" s="46">
        <f>IF(W43=0,"",полдникл*W43/1000)</f>
      </c>
      <c r="X44" s="46">
        <f>IF(X43=0,"",полдникл*X43/1000)</f>
      </c>
      <c r="Y44" s="89">
        <f>IF(Y43=0,"",полдникл*Y43/1000)</f>
      </c>
      <c r="Z44" s="48">
        <f aca="true" t="shared" si="31" ref="Z44:AG44">IF(Z43=0,"",ужинл*Z43/1000)</f>
      </c>
      <c r="AA44" s="47">
        <f t="shared" si="31"/>
      </c>
      <c r="AB44" s="46">
        <f t="shared" si="31"/>
      </c>
      <c r="AC44" s="47">
        <f t="shared" si="31"/>
      </c>
      <c r="AD44" s="46">
        <f t="shared" si="31"/>
      </c>
      <c r="AE44" s="47">
        <f t="shared" si="31"/>
      </c>
      <c r="AF44" s="46">
        <f t="shared" si="31"/>
      </c>
      <c r="AG44" s="89">
        <f t="shared" si="31"/>
      </c>
      <c r="AH44" s="153"/>
      <c r="AI44" s="161"/>
      <c r="AJ44" s="162"/>
      <c r="AK44" s="154"/>
      <c r="AL44" s="154"/>
      <c r="AM44" s="214"/>
      <c r="AN44" s="156"/>
      <c r="AP44">
        <v>43</v>
      </c>
      <c r="AQ44" s="62" t="s">
        <v>348</v>
      </c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>
        <v>40</v>
      </c>
      <c r="DE44" s="61">
        <v>40</v>
      </c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</row>
    <row r="45" spans="1:129" ht="34.5" customHeight="1">
      <c r="A45" s="167" t="s">
        <v>4</v>
      </c>
      <c r="B45" s="167"/>
      <c r="C45" s="167"/>
      <c r="D45" s="167"/>
      <c r="E45" s="168"/>
      <c r="F45" s="71" t="s">
        <v>198</v>
      </c>
      <c r="G45" s="78">
        <f>VLOOKUP(завтрак1,таб,12,FALSE)</f>
        <v>0</v>
      </c>
      <c r="H45" s="29">
        <f>VLOOKUP(завтрак2,таб,12,FALSE)</f>
        <v>0</v>
      </c>
      <c r="I45" s="28">
        <f>VLOOKUP(завтрак3,таб,12,FALSE)</f>
        <v>0</v>
      </c>
      <c r="J45" s="29">
        <f>VLOOKUP(завтрак4,таб,12,FALSE)</f>
        <v>0</v>
      </c>
      <c r="K45" s="28">
        <f>VLOOKUP(завтрак5,таб,12,FALSE)</f>
        <v>0</v>
      </c>
      <c r="L45" s="28">
        <f>VLOOKUP(завтрак6,таб,12,FALSE)</f>
        <v>0</v>
      </c>
      <c r="M45" s="28">
        <f>VLOOKUP(завтрак7,таб,12,FALSE)</f>
        <v>0</v>
      </c>
      <c r="N45" s="88">
        <f>VLOOKUP(завтрак8,таб,12,FALSE)</f>
        <v>0</v>
      </c>
      <c r="O45" s="30">
        <f>VLOOKUP(обед1,таб,12,FALSE)</f>
        <v>0</v>
      </c>
      <c r="P45" s="28">
        <f>VLOOKUP(обед2,таб,12,FALSE)</f>
        <v>0</v>
      </c>
      <c r="Q45" s="29">
        <f>VLOOKUP(обед3,таб,12,FALSE)</f>
        <v>0</v>
      </c>
      <c r="R45" s="28">
        <f>VLOOKUP(обед4,таб,12,FALSE)</f>
        <v>0</v>
      </c>
      <c r="S45" s="29">
        <f>VLOOKUP(обед5,таб,12,FALSE)</f>
        <v>0</v>
      </c>
      <c r="T45" s="28">
        <f>VLOOKUP(обед6,таб,12,FALSE)</f>
        <v>0</v>
      </c>
      <c r="U45" s="29">
        <f>VLOOKUP(обед7,таб,12,FALSE)</f>
        <v>0</v>
      </c>
      <c r="V45" s="28">
        <f>VLOOKUP(обед8,таб,12,FALSE)</f>
        <v>0</v>
      </c>
      <c r="W45" s="28">
        <f>VLOOKUP(полдник1,таб,12,FALSE)</f>
        <v>0</v>
      </c>
      <c r="X45" s="28">
        <f>VLOOKUP(полдник2,таб,12,FALSE)</f>
        <v>0</v>
      </c>
      <c r="Y45" s="88">
        <f>VLOOKUP(полдник3,таб,12,FALSE)</f>
        <v>0</v>
      </c>
      <c r="Z45" s="30">
        <f>VLOOKUP(ужин1,таб,12,FALSE)</f>
        <v>0</v>
      </c>
      <c r="AA45" s="29">
        <f>VLOOKUP(ужин2,таб,12,FALSE)</f>
        <v>0</v>
      </c>
      <c r="AB45" s="28">
        <f>VLOOKUP(ужин3,таб,12,FALSE)</f>
        <v>0</v>
      </c>
      <c r="AC45" s="29">
        <f>VLOOKUP(ужин4,таб,12,FALSE)</f>
        <v>0</v>
      </c>
      <c r="AD45" s="28">
        <f>VLOOKUP(ужин5,таб,12,FALSE)</f>
        <v>0</v>
      </c>
      <c r="AE45" s="29">
        <f>VLOOKUP(ужин6,таб,12,FALSE)</f>
        <v>0</v>
      </c>
      <c r="AF45" s="28">
        <f>VLOOKUP(ужин7,таб,12,FALSE)</f>
        <v>0</v>
      </c>
      <c r="AG45" s="88">
        <f>VLOOKUP(ужин8,таб,12,FALSE)</f>
        <v>0</v>
      </c>
      <c r="AH45" s="152">
        <v>612024</v>
      </c>
      <c r="AI45" s="161">
        <f>AK45/сред</f>
        <v>0</v>
      </c>
      <c r="AJ45" s="162"/>
      <c r="AK45" s="154">
        <f>SUM(G46:AG46)</f>
        <v>0</v>
      </c>
      <c r="AL45" s="154"/>
      <c r="AM45" s="213">
        <f>IF(AK45=0,0,BB117)</f>
        <v>0</v>
      </c>
      <c r="AN45" s="155">
        <f>AK45*AM45</f>
        <v>0</v>
      </c>
      <c r="AP45">
        <v>44</v>
      </c>
      <c r="AQ45" s="62" t="s">
        <v>107</v>
      </c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>
        <v>300</v>
      </c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>
        <v>300</v>
      </c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</row>
    <row r="46" spans="1:129" ht="34.5" customHeight="1">
      <c r="A46" s="167"/>
      <c r="B46" s="167"/>
      <c r="C46" s="167"/>
      <c r="D46" s="167"/>
      <c r="E46" s="168"/>
      <c r="F46" s="66" t="s">
        <v>199</v>
      </c>
      <c r="G46" s="81">
        <f aca="true" t="shared" si="32" ref="G46:N46">IF(G45=0,"",завтракл*G45/1000)</f>
      </c>
      <c r="H46" s="49">
        <f t="shared" si="32"/>
      </c>
      <c r="I46" s="45">
        <f t="shared" si="32"/>
      </c>
      <c r="J46" s="49">
        <f t="shared" si="32"/>
      </c>
      <c r="K46" s="45">
        <f t="shared" si="32"/>
      </c>
      <c r="L46" s="45">
        <f t="shared" si="32"/>
      </c>
      <c r="M46" s="46">
        <f t="shared" si="32"/>
      </c>
      <c r="N46" s="89">
        <f t="shared" si="32"/>
      </c>
      <c r="O46" s="50">
        <f aca="true" t="shared" si="33" ref="O46:T46">IF(O45=0,"",обідл*O45/1000)</f>
      </c>
      <c r="P46" s="45">
        <f t="shared" si="33"/>
      </c>
      <c r="Q46" s="49">
        <f t="shared" si="33"/>
      </c>
      <c r="R46" s="45">
        <f t="shared" si="33"/>
      </c>
      <c r="S46" s="49">
        <f t="shared" si="33"/>
      </c>
      <c r="T46" s="45">
        <f t="shared" si="33"/>
      </c>
      <c r="U46" s="49">
        <f>IF(U45=0,"",обідл*U45/1000)</f>
      </c>
      <c r="V46" s="45">
        <f>IF(V45=0,"",обідл*V45/1000)</f>
      </c>
      <c r="W46" s="45">
        <f>IF(W45=0,"",полдникл*W45/1000)</f>
      </c>
      <c r="X46" s="45">
        <f>IF(X45=0,"",полдникл*X45/1000)</f>
      </c>
      <c r="Y46" s="92">
        <f>IF(Y45=0,"",полдникл*Y45/1000)</f>
      </c>
      <c r="Z46" s="50">
        <f aca="true" t="shared" si="34" ref="Z46:AG46">IF(Z45=0,"",ужинл*Z45/1000)</f>
      </c>
      <c r="AA46" s="49">
        <f t="shared" si="34"/>
      </c>
      <c r="AB46" s="45">
        <f t="shared" si="34"/>
      </c>
      <c r="AC46" s="49">
        <f t="shared" si="34"/>
      </c>
      <c r="AD46" s="45">
        <f t="shared" si="34"/>
      </c>
      <c r="AE46" s="49">
        <f t="shared" si="34"/>
      </c>
      <c r="AF46" s="45">
        <f t="shared" si="34"/>
      </c>
      <c r="AG46" s="92">
        <f t="shared" si="34"/>
      </c>
      <c r="AH46" s="153"/>
      <c r="AI46" s="161"/>
      <c r="AJ46" s="162"/>
      <c r="AK46" s="154"/>
      <c r="AL46" s="154"/>
      <c r="AM46" s="214"/>
      <c r="AN46" s="156"/>
      <c r="AP46">
        <v>45</v>
      </c>
      <c r="AQ46" s="62" t="s">
        <v>108</v>
      </c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>
        <v>300</v>
      </c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</row>
    <row r="47" spans="1:129" ht="34.5" customHeight="1">
      <c r="A47" s="167" t="s">
        <v>20</v>
      </c>
      <c r="B47" s="167"/>
      <c r="C47" s="167"/>
      <c r="D47" s="167"/>
      <c r="E47" s="168"/>
      <c r="F47" s="71" t="s">
        <v>198</v>
      </c>
      <c r="G47" s="78">
        <f>VLOOKUP(завтрак1,таб,13,FALSE)</f>
        <v>0</v>
      </c>
      <c r="H47" s="29">
        <f>VLOOKUP(завтрак2,таб,13,FALSE)</f>
        <v>0</v>
      </c>
      <c r="I47" s="28">
        <f>VLOOKUP(завтрак3,таб,13,FALSE)</f>
        <v>0</v>
      </c>
      <c r="J47" s="29">
        <f>VLOOKUP(завтрак4,таб,13,FALSE)</f>
        <v>0</v>
      </c>
      <c r="K47" s="28">
        <f>VLOOKUP(завтрак5,таб,13,FALSE)</f>
        <v>0</v>
      </c>
      <c r="L47" s="28">
        <f>VLOOKUP(завтрак6,таб,13,FALSE)</f>
        <v>0</v>
      </c>
      <c r="M47" s="28">
        <f>VLOOKUP(завтрак7,таб,13,FALSE)</f>
        <v>0</v>
      </c>
      <c r="N47" s="88">
        <f>VLOOKUP(завтрак8,таб,13,FALSE)</f>
        <v>0</v>
      </c>
      <c r="O47" s="30">
        <v>6</v>
      </c>
      <c r="P47" s="28">
        <v>3</v>
      </c>
      <c r="Q47" s="29">
        <f>VLOOKUP(обед3,таб,13,FALSE)</f>
        <v>0</v>
      </c>
      <c r="R47" s="28">
        <f>VLOOKUP(обед4,таб,13,FALSE)</f>
        <v>0</v>
      </c>
      <c r="S47" s="29">
        <f>VLOOKUP(обед5,таб,13,FALSE)</f>
        <v>0</v>
      </c>
      <c r="T47" s="28">
        <f>VLOOKUP(обед6,таб,13,FALSE)</f>
        <v>0</v>
      </c>
      <c r="U47" s="29">
        <f>VLOOKUP(обед7,таб,13,FALSE)</f>
        <v>0</v>
      </c>
      <c r="V47" s="28">
        <f>VLOOKUP(обед8,таб,13,FALSE)</f>
        <v>0</v>
      </c>
      <c r="W47" s="28">
        <f>VLOOKUP(полдник1,таб,13,FALSE)</f>
        <v>3</v>
      </c>
      <c r="X47" s="28">
        <f>VLOOKUP(полдник2,таб,13,FALSE)</f>
        <v>0</v>
      </c>
      <c r="Y47" s="88">
        <f>VLOOKUP(полдник3,таб,13,FALSE)</f>
        <v>0</v>
      </c>
      <c r="Z47" s="30">
        <f>VLOOKUP(ужин1,таб,13,FALSE)</f>
        <v>0</v>
      </c>
      <c r="AA47" s="29">
        <f>VLOOKUP(ужин2,таб,13,FALSE)</f>
        <v>3</v>
      </c>
      <c r="AB47" s="28">
        <f>VLOOKUP(ужин3,таб,13,FALSE)</f>
        <v>0</v>
      </c>
      <c r="AC47" s="29">
        <f>VLOOKUP(ужин4,таб,13,FALSE)</f>
        <v>0</v>
      </c>
      <c r="AD47" s="28">
        <f>VLOOKUP(ужин5,таб,13,FALSE)</f>
        <v>0</v>
      </c>
      <c r="AE47" s="29">
        <f>VLOOKUP(ужин6,таб,13,FALSE)</f>
        <v>0</v>
      </c>
      <c r="AF47" s="28">
        <f>VLOOKUP(ужин7,таб,13,FALSE)</f>
        <v>0</v>
      </c>
      <c r="AG47" s="88">
        <f>VLOOKUP(ужин8,таб,13,FALSE)</f>
        <v>0</v>
      </c>
      <c r="AH47" s="152">
        <v>612025</v>
      </c>
      <c r="AI47" s="161">
        <f>AK47/сред</f>
        <v>0.015</v>
      </c>
      <c r="AJ47" s="162"/>
      <c r="AK47" s="154">
        <f>SUM(G48:AG48)</f>
        <v>0.24</v>
      </c>
      <c r="AL47" s="154"/>
      <c r="AM47" s="213">
        <f>IF(AK47=0,0,BC117)</f>
        <v>33.6</v>
      </c>
      <c r="AN47" s="155">
        <f>AK47*AM47</f>
        <v>8.064</v>
      </c>
      <c r="AP47">
        <v>46</v>
      </c>
      <c r="AQ47" s="62" t="s">
        <v>283</v>
      </c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>
        <v>100</v>
      </c>
      <c r="DF47" s="61"/>
      <c r="DG47" s="61"/>
      <c r="DH47" s="61"/>
      <c r="DI47" s="61"/>
      <c r="DJ47" s="61"/>
      <c r="DK47" s="61"/>
      <c r="DL47" s="61"/>
      <c r="DM47" s="61"/>
      <c r="DN47" s="61"/>
      <c r="DO47" s="61">
        <v>100</v>
      </c>
      <c r="DP47" s="61"/>
      <c r="DQ47" s="61"/>
      <c r="DR47" s="61"/>
      <c r="DS47" s="61"/>
      <c r="DT47" s="61"/>
      <c r="DU47" s="61"/>
      <c r="DV47" s="61"/>
      <c r="DW47" s="61"/>
      <c r="DX47" s="61"/>
      <c r="DY47" s="61"/>
    </row>
    <row r="48" spans="1:129" ht="34.5" customHeight="1">
      <c r="A48" s="167"/>
      <c r="B48" s="167"/>
      <c r="C48" s="167"/>
      <c r="D48" s="167"/>
      <c r="E48" s="168"/>
      <c r="F48" s="66" t="s">
        <v>199</v>
      </c>
      <c r="G48" s="79">
        <f aca="true" t="shared" si="35" ref="G48:N48">IF(G47=0,"",завтракл*G47/1000)</f>
      </c>
      <c r="H48" s="47">
        <f t="shared" si="35"/>
      </c>
      <c r="I48" s="46">
        <f t="shared" si="35"/>
      </c>
      <c r="J48" s="47">
        <f t="shared" si="35"/>
      </c>
      <c r="K48" s="46">
        <f t="shared" si="35"/>
      </c>
      <c r="L48" s="46">
        <f t="shared" si="35"/>
      </c>
      <c r="M48" s="46">
        <f t="shared" si="35"/>
      </c>
      <c r="N48" s="89">
        <f t="shared" si="35"/>
      </c>
      <c r="O48" s="48">
        <f aca="true" t="shared" si="36" ref="O48:T48">IF(O47=0,"",обідл*O47/1000)</f>
        <v>0.096</v>
      </c>
      <c r="P48" s="46">
        <f t="shared" si="36"/>
        <v>0.048</v>
      </c>
      <c r="Q48" s="47">
        <f t="shared" si="36"/>
      </c>
      <c r="R48" s="46">
        <f t="shared" si="36"/>
      </c>
      <c r="S48" s="47">
        <f t="shared" si="36"/>
      </c>
      <c r="T48" s="46">
        <f t="shared" si="36"/>
      </c>
      <c r="U48" s="47">
        <f>IF(U47=0,"",обідл*U47/1000)</f>
      </c>
      <c r="V48" s="46">
        <f>IF(V47=0,"",обідл*V47/1000)</f>
      </c>
      <c r="W48" s="46">
        <f>IF(W47=0,"",полдникл*W47/1000)</f>
        <v>0.048</v>
      </c>
      <c r="X48" s="46">
        <f>IF(X47=0,"",полдникл*X47/1000)</f>
      </c>
      <c r="Y48" s="89">
        <f>IF(Y47=0,"",полдникл*Y47/1000)</f>
      </c>
      <c r="Z48" s="48">
        <f aca="true" t="shared" si="37" ref="Z48:AG48">IF(Z47=0,"",ужинл*Z47/1000)</f>
      </c>
      <c r="AA48" s="47">
        <f t="shared" si="37"/>
        <v>0.048</v>
      </c>
      <c r="AB48" s="46">
        <f t="shared" si="37"/>
      </c>
      <c r="AC48" s="47">
        <f t="shared" si="37"/>
      </c>
      <c r="AD48" s="46">
        <f t="shared" si="37"/>
      </c>
      <c r="AE48" s="47">
        <f t="shared" si="37"/>
      </c>
      <c r="AF48" s="46">
        <f t="shared" si="37"/>
      </c>
      <c r="AG48" s="89">
        <f t="shared" si="37"/>
      </c>
      <c r="AH48" s="153"/>
      <c r="AI48" s="161"/>
      <c r="AJ48" s="162"/>
      <c r="AK48" s="154"/>
      <c r="AL48" s="154"/>
      <c r="AM48" s="214"/>
      <c r="AN48" s="156"/>
      <c r="AP48">
        <v>47</v>
      </c>
      <c r="AQ48" s="62" t="s">
        <v>316</v>
      </c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>
        <v>200</v>
      </c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>
        <v>200</v>
      </c>
      <c r="DF48" s="61"/>
      <c r="DG48" s="61"/>
      <c r="DH48" s="61"/>
      <c r="DI48" s="61"/>
      <c r="DJ48" s="61"/>
      <c r="DK48" s="61"/>
      <c r="DL48" s="61"/>
      <c r="DM48" s="61"/>
      <c r="DN48" s="61">
        <v>200</v>
      </c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</row>
    <row r="49" spans="1:129" ht="34.5" customHeight="1">
      <c r="A49" s="167" t="s">
        <v>21</v>
      </c>
      <c r="B49" s="167"/>
      <c r="C49" s="167"/>
      <c r="D49" s="167"/>
      <c r="E49" s="168"/>
      <c r="F49" s="71" t="s">
        <v>198</v>
      </c>
      <c r="G49" s="80">
        <f>VLOOKUP(завтрак1,таб,14,FALSE)</f>
        <v>145</v>
      </c>
      <c r="H49" s="32">
        <f>VLOOKUP(завтрак2,таб,14,FALSE)</f>
        <v>0</v>
      </c>
      <c r="I49" s="31">
        <f>VLOOKUP(завтрак3,таб,14,FALSE)</f>
        <v>0</v>
      </c>
      <c r="J49" s="32">
        <f>VLOOKUP(завтрак4,таб,14,FALSE)</f>
        <v>0</v>
      </c>
      <c r="K49" s="31">
        <f>VLOOKUP(завтрак5,таб,14,FALSE)</f>
        <v>0</v>
      </c>
      <c r="L49" s="31">
        <f>VLOOKUP(завтрак6,таб,14,FALSE)</f>
        <v>0</v>
      </c>
      <c r="M49" s="28">
        <f>VLOOKUP(завтрак7,таб,14,FALSE)</f>
        <v>0</v>
      </c>
      <c r="N49" s="88">
        <f>VLOOKUP(завтрак8,таб,14,FALSE)</f>
        <v>0</v>
      </c>
      <c r="O49" s="33">
        <f>VLOOKUP(обед1,таб,14,FALSE)</f>
        <v>0</v>
      </c>
      <c r="P49" s="31">
        <f>VLOOKUP(обед2,таб,14,FALSE)</f>
        <v>0</v>
      </c>
      <c r="Q49" s="32">
        <f>VLOOKUP(обед3,таб,14,FALSE)</f>
        <v>0</v>
      </c>
      <c r="R49" s="31">
        <f>VLOOKUP(обед4,таб,14,FALSE)</f>
        <v>0</v>
      </c>
      <c r="S49" s="32">
        <f>VLOOKUP(обед5,таб,14,FALSE)</f>
        <v>0</v>
      </c>
      <c r="T49" s="31">
        <f>VLOOKUP(обед6,таб,14,FALSE)</f>
        <v>0</v>
      </c>
      <c r="U49" s="32">
        <f>VLOOKUP(обед7,таб,14,FALSE)</f>
        <v>0</v>
      </c>
      <c r="V49" s="31">
        <f>VLOOKUP(обед8,таб,14,FALSE)</f>
        <v>0</v>
      </c>
      <c r="W49" s="31">
        <f>VLOOKUP(полдник1,таб,14,FALSE)</f>
        <v>0</v>
      </c>
      <c r="X49" s="31">
        <f>VLOOKUP(полдник2,таб,14,FALSE)</f>
        <v>0</v>
      </c>
      <c r="Y49" s="93">
        <f>VLOOKUP(полдник3,таб,14,FALSE)</f>
        <v>0</v>
      </c>
      <c r="Z49" s="33">
        <f>VLOOKUP(ужин1,таб,14,FALSE)</f>
        <v>0</v>
      </c>
      <c r="AA49" s="32">
        <f>VLOOKUP(ужин2,таб,14,FALSE)</f>
        <v>0</v>
      </c>
      <c r="AB49" s="31">
        <f>VLOOKUP(ужин3,таб,14,FALSE)</f>
        <v>0</v>
      </c>
      <c r="AC49" s="32">
        <f>VLOOKUP(ужин4,таб,14,FALSE)</f>
        <v>0</v>
      </c>
      <c r="AD49" s="31">
        <f>VLOOKUP(ужин5,таб,14,FALSE)</f>
        <v>0</v>
      </c>
      <c r="AE49" s="32">
        <f>VLOOKUP(ужин6,таб,14,FALSE)</f>
        <v>0</v>
      </c>
      <c r="AF49" s="31">
        <f>VLOOKUP(ужин7,таб,14,FALSE)</f>
        <v>0</v>
      </c>
      <c r="AG49" s="93">
        <f>VLOOKUP(ужин8,таб,14,FALSE)</f>
        <v>0</v>
      </c>
      <c r="AH49" s="152">
        <v>612036</v>
      </c>
      <c r="AI49" s="161">
        <f>AK49/сред</f>
        <v>0.145</v>
      </c>
      <c r="AJ49" s="162"/>
      <c r="AK49" s="154">
        <f>SUM(G50:AG50)</f>
        <v>2.32</v>
      </c>
      <c r="AL49" s="154"/>
      <c r="AM49" s="213">
        <f>IF(AK49=0,0,BD117)</f>
        <v>25.6</v>
      </c>
      <c r="AN49" s="155">
        <f>AK49*AM49</f>
        <v>59.391999999999996</v>
      </c>
      <c r="AP49">
        <v>48</v>
      </c>
      <c r="AQ49" s="62" t="s">
        <v>106</v>
      </c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>
        <v>100</v>
      </c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>
        <v>300</v>
      </c>
      <c r="DQ49" s="61"/>
      <c r="DR49" s="61"/>
      <c r="DS49" s="61"/>
      <c r="DT49" s="61"/>
      <c r="DU49" s="61"/>
      <c r="DV49" s="61"/>
      <c r="DW49" s="61"/>
      <c r="DX49" s="61"/>
      <c r="DY49" s="61"/>
    </row>
    <row r="50" spans="1:129" ht="34.5" customHeight="1">
      <c r="A50" s="195"/>
      <c r="B50" s="195"/>
      <c r="C50" s="195"/>
      <c r="D50" s="195"/>
      <c r="E50" s="196"/>
      <c r="F50" s="66" t="s">
        <v>199</v>
      </c>
      <c r="G50" s="81">
        <f aca="true" t="shared" si="38" ref="G50:N50">IF(G49=0,"",завтракл*G49/1000)</f>
        <v>2.32</v>
      </c>
      <c r="H50" s="49">
        <f t="shared" si="38"/>
      </c>
      <c r="I50" s="45">
        <f t="shared" si="38"/>
      </c>
      <c r="J50" s="49">
        <f t="shared" si="38"/>
      </c>
      <c r="K50" s="45">
        <f t="shared" si="38"/>
      </c>
      <c r="L50" s="45">
        <f t="shared" si="38"/>
      </c>
      <c r="M50" s="46">
        <f t="shared" si="38"/>
      </c>
      <c r="N50" s="89">
        <f t="shared" si="38"/>
      </c>
      <c r="O50" s="50">
        <f aca="true" t="shared" si="39" ref="O50:T50">IF(O49=0,"",обідл*O49/1000)</f>
      </c>
      <c r="P50" s="45">
        <f t="shared" si="39"/>
      </c>
      <c r="Q50" s="49">
        <f t="shared" si="39"/>
      </c>
      <c r="R50" s="45">
        <f t="shared" si="39"/>
      </c>
      <c r="S50" s="49">
        <f t="shared" si="39"/>
      </c>
      <c r="T50" s="45">
        <f t="shared" si="39"/>
      </c>
      <c r="U50" s="49">
        <f>IF(U49=0,"",обідл*U49/1000)</f>
      </c>
      <c r="V50" s="45">
        <f>IF(V49=0,"",обідл*V49/1000)</f>
      </c>
      <c r="W50" s="45">
        <f>IF(W49=0,"",полдникл*W49/1000)</f>
      </c>
      <c r="X50" s="45">
        <f>IF(X49=0,"",полдникл*X49/1000)</f>
      </c>
      <c r="Y50" s="92">
        <f>IF(Y49=0,"",полдникл*Y49/1000)</f>
      </c>
      <c r="Z50" s="50">
        <f aca="true" t="shared" si="40" ref="Z50:AG50">IF(Z49=0,"",ужинл*Z49/1000)</f>
      </c>
      <c r="AA50" s="49">
        <f t="shared" si="40"/>
      </c>
      <c r="AB50" s="45">
        <f t="shared" si="40"/>
      </c>
      <c r="AC50" s="49">
        <f t="shared" si="40"/>
      </c>
      <c r="AD50" s="45">
        <f t="shared" si="40"/>
      </c>
      <c r="AE50" s="49">
        <f t="shared" si="40"/>
      </c>
      <c r="AF50" s="45">
        <f t="shared" si="40"/>
      </c>
      <c r="AG50" s="92">
        <f t="shared" si="40"/>
      </c>
      <c r="AH50" s="153"/>
      <c r="AI50" s="161"/>
      <c r="AJ50" s="162"/>
      <c r="AK50" s="154"/>
      <c r="AL50" s="154"/>
      <c r="AM50" s="214"/>
      <c r="AN50" s="156"/>
      <c r="AP50">
        <v>49</v>
      </c>
      <c r="AQ50" s="62" t="s">
        <v>109</v>
      </c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>
        <v>180</v>
      </c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>
        <v>180</v>
      </c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</row>
    <row r="51" spans="1:129" ht="34.5" customHeight="1">
      <c r="A51" s="167" t="s">
        <v>22</v>
      </c>
      <c r="B51" s="167"/>
      <c r="C51" s="167"/>
      <c r="D51" s="167"/>
      <c r="E51" s="168"/>
      <c r="F51" s="71" t="s">
        <v>198</v>
      </c>
      <c r="G51" s="78">
        <f>VLOOKUP(завтрак1,таб,15,FALSE)</f>
        <v>0</v>
      </c>
      <c r="H51" s="29">
        <f>VLOOKUP(завтрак2,таб,15,FALSE)</f>
        <v>0</v>
      </c>
      <c r="I51" s="28">
        <f>VLOOKUP(завтрак3,таб,15,FALSE)</f>
        <v>0</v>
      </c>
      <c r="J51" s="29">
        <f>VLOOKUP(завтрак4,таб,15,FALSE)</f>
        <v>0</v>
      </c>
      <c r="K51" s="28">
        <f>VLOOKUP(завтрак5,таб,15,FALSE)</f>
        <v>0</v>
      </c>
      <c r="L51" s="28">
        <f>VLOOKUP(завтрак6,таб,15,FALSE)</f>
        <v>0</v>
      </c>
      <c r="M51" s="28">
        <f>VLOOKUP(завтрак7,таб,15,FALSE)</f>
        <v>0</v>
      </c>
      <c r="N51" s="88">
        <f>VLOOKUP(завтрак8,таб,15,FALSE)</f>
        <v>0</v>
      </c>
      <c r="O51" s="30">
        <f>VLOOKUP(обед1,таб,15,FALSE)</f>
        <v>0</v>
      </c>
      <c r="P51" s="28">
        <f>VLOOKUP(обед2,таб,15,FALSE)</f>
        <v>0</v>
      </c>
      <c r="Q51" s="29">
        <f>VLOOKUP(обед3,таб,15,FALSE)</f>
        <v>0</v>
      </c>
      <c r="R51" s="28">
        <f>VLOOKUP(обед4,таб,15,FALSE)</f>
        <v>0</v>
      </c>
      <c r="S51" s="29">
        <f>VLOOKUP(обед5,таб,15,FALSE)</f>
        <v>0</v>
      </c>
      <c r="T51" s="28">
        <f>VLOOKUP(обед6,таб,15,FALSE)</f>
        <v>0</v>
      </c>
      <c r="U51" s="29">
        <f>VLOOKUP(обед7,таб,15,FALSE)</f>
        <v>0</v>
      </c>
      <c r="V51" s="28">
        <f>VLOOKUP(обед8,таб,15,FALSE)</f>
        <v>0</v>
      </c>
      <c r="W51" s="28">
        <f>VLOOKUP(полдник1,таб,15,FALSE)</f>
        <v>0</v>
      </c>
      <c r="X51" s="28">
        <f>VLOOKUP(полдник2,таб,15,FALSE)</f>
        <v>0</v>
      </c>
      <c r="Y51" s="88">
        <f>VLOOKUP(полдник3,таб,15,FALSE)</f>
        <v>0</v>
      </c>
      <c r="Z51" s="30">
        <f>VLOOKUP(ужин1,таб,15,FALSE)</f>
        <v>0</v>
      </c>
      <c r="AA51" s="29">
        <f>VLOOKUP(ужин2,таб,15,FALSE)</f>
        <v>0</v>
      </c>
      <c r="AB51" s="28">
        <f>VLOOKUP(ужин3,таб,15,FALSE)</f>
        <v>0</v>
      </c>
      <c r="AC51" s="29">
        <f>VLOOKUP(ужин4,таб,15,FALSE)</f>
        <v>0</v>
      </c>
      <c r="AD51" s="28">
        <f>VLOOKUP(ужин5,таб,15,FALSE)</f>
        <v>0</v>
      </c>
      <c r="AE51" s="29">
        <f>VLOOKUP(ужин6,таб,15,FALSE)</f>
        <v>0</v>
      </c>
      <c r="AF51" s="28">
        <f>VLOOKUP(ужин7,таб,15,FALSE)</f>
        <v>0</v>
      </c>
      <c r="AG51" s="88">
        <f>VLOOKUP(ужин8,таб,15,FALSE)</f>
        <v>0</v>
      </c>
      <c r="AH51" s="152">
        <v>612034</v>
      </c>
      <c r="AI51" s="161">
        <f>AK51/сред</f>
        <v>0</v>
      </c>
      <c r="AJ51" s="162"/>
      <c r="AK51" s="154">
        <f>SUM(G52:AG52)</f>
        <v>0</v>
      </c>
      <c r="AL51" s="154"/>
      <c r="AM51" s="213">
        <f>IF(AK51=0,0,BE117)</f>
        <v>0</v>
      </c>
      <c r="AN51" s="155">
        <f>AK51*AM51</f>
        <v>0</v>
      </c>
      <c r="AP51">
        <v>50</v>
      </c>
      <c r="AQ51" s="62" t="s">
        <v>110</v>
      </c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>
        <v>20</v>
      </c>
      <c r="BX51" s="61"/>
      <c r="BY51" s="61"/>
      <c r="BZ51" s="61"/>
      <c r="CA51" s="61"/>
      <c r="CB51" s="61">
        <v>20</v>
      </c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>
        <v>200</v>
      </c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</row>
    <row r="52" spans="1:129" ht="34.5" customHeight="1">
      <c r="A52" s="167"/>
      <c r="B52" s="167"/>
      <c r="C52" s="167"/>
      <c r="D52" s="167"/>
      <c r="E52" s="168"/>
      <c r="F52" s="66" t="s">
        <v>199</v>
      </c>
      <c r="G52" s="79">
        <f aca="true" t="shared" si="41" ref="G52:N52">IF(G51=0,"",завтракл*G51/1000)</f>
      </c>
      <c r="H52" s="47">
        <f t="shared" si="41"/>
      </c>
      <c r="I52" s="46">
        <f t="shared" si="41"/>
      </c>
      <c r="J52" s="47">
        <f t="shared" si="41"/>
      </c>
      <c r="K52" s="46">
        <f t="shared" si="41"/>
      </c>
      <c r="L52" s="46">
        <f t="shared" si="41"/>
      </c>
      <c r="M52" s="46">
        <f t="shared" si="41"/>
      </c>
      <c r="N52" s="89">
        <f t="shared" si="41"/>
      </c>
      <c r="O52" s="48">
        <f aca="true" t="shared" si="42" ref="O52:T52">IF(O51=0,"",обідл*O51/1000)</f>
      </c>
      <c r="P52" s="46">
        <f t="shared" si="42"/>
      </c>
      <c r="Q52" s="47">
        <f t="shared" si="42"/>
      </c>
      <c r="R52" s="46">
        <f t="shared" si="42"/>
      </c>
      <c r="S52" s="47">
        <f t="shared" si="42"/>
      </c>
      <c r="T52" s="46">
        <f t="shared" si="42"/>
      </c>
      <c r="U52" s="47">
        <f>IF(U51=0,"",обідл*U51/1000)</f>
      </c>
      <c r="V52" s="46">
        <f>IF(V51=0,"",обідл*V51/1000)</f>
      </c>
      <c r="W52" s="46">
        <f>IF(W51=0,"",полдникл*W51/1000)</f>
      </c>
      <c r="X52" s="46">
        <f>IF(X51=0,"",полдникл*X51/1000)</f>
      </c>
      <c r="Y52" s="89">
        <f>IF(Y51=0,"",полдникл*Y51/1000)</f>
      </c>
      <c r="Z52" s="48">
        <f aca="true" t="shared" si="43" ref="Z52:AG52">IF(Z51=0,"",ужинл*Z51/1000)</f>
      </c>
      <c r="AA52" s="47">
        <f t="shared" si="43"/>
      </c>
      <c r="AB52" s="46">
        <f t="shared" si="43"/>
      </c>
      <c r="AC52" s="47">
        <f t="shared" si="43"/>
      </c>
      <c r="AD52" s="46">
        <f t="shared" si="43"/>
      </c>
      <c r="AE52" s="47">
        <f t="shared" si="43"/>
      </c>
      <c r="AF52" s="46">
        <f t="shared" si="43"/>
      </c>
      <c r="AG52" s="89">
        <f t="shared" si="43"/>
      </c>
      <c r="AH52" s="153"/>
      <c r="AI52" s="161"/>
      <c r="AJ52" s="162"/>
      <c r="AK52" s="154"/>
      <c r="AL52" s="154"/>
      <c r="AM52" s="214"/>
      <c r="AN52" s="156"/>
      <c r="AP52">
        <v>51</v>
      </c>
      <c r="AQ52" s="62" t="s">
        <v>111</v>
      </c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>
        <v>8</v>
      </c>
      <c r="BN52" s="61"/>
      <c r="BO52" s="61"/>
      <c r="BP52" s="61"/>
      <c r="BQ52" s="61"/>
      <c r="BR52" s="61"/>
      <c r="BS52" s="61"/>
      <c r="BT52" s="61"/>
      <c r="BU52" s="61"/>
      <c r="BV52" s="61"/>
      <c r="BW52" s="61">
        <v>24</v>
      </c>
      <c r="BX52" s="61"/>
      <c r="BY52" s="61"/>
      <c r="BZ52" s="61"/>
      <c r="CA52" s="61"/>
      <c r="CB52" s="61">
        <v>12</v>
      </c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>
        <v>1</v>
      </c>
      <c r="DD52" s="61"/>
      <c r="DE52" s="61">
        <v>200</v>
      </c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</row>
    <row r="53" spans="1:129" ht="34.5" customHeight="1">
      <c r="A53" s="191" t="s">
        <v>23</v>
      </c>
      <c r="B53" s="191"/>
      <c r="C53" s="191"/>
      <c r="D53" s="191"/>
      <c r="E53" s="192"/>
      <c r="F53" s="71" t="s">
        <v>198</v>
      </c>
      <c r="G53" s="80">
        <f>VLOOKUP(завтрак1,таб,16,FALSE)</f>
        <v>0</v>
      </c>
      <c r="H53" s="32">
        <f>VLOOKUP(завтрак2,таб,16,FALSE)</f>
        <v>0</v>
      </c>
      <c r="I53" s="31">
        <f>VLOOKUP(завтрак3,таб,16,FALSE)</f>
        <v>0</v>
      </c>
      <c r="J53" s="32">
        <f>VLOOKUP(завтрак4,таб,16,FALSE)</f>
        <v>0</v>
      </c>
      <c r="K53" s="31">
        <f>VLOOKUP(завтрак5,таб,16,FALSE)</f>
        <v>0</v>
      </c>
      <c r="L53" s="31">
        <f>VLOOKUP(завтрак6,таб,16,FALSE)</f>
        <v>0</v>
      </c>
      <c r="M53" s="28">
        <f>VLOOKUP(завтрак7,таб,16,FALSE)</f>
        <v>0</v>
      </c>
      <c r="N53" s="88">
        <f>VLOOKUP(завтрак8,таб,16,FALSE)</f>
        <v>0</v>
      </c>
      <c r="O53" s="33">
        <f>VLOOKUP(обед1,таб,16,FALSE)</f>
        <v>0</v>
      </c>
      <c r="P53" s="31">
        <f>VLOOKUP(обед2,таб,16,FALSE)</f>
        <v>0</v>
      </c>
      <c r="Q53" s="32">
        <f>VLOOKUP(обед3,таб,16,FALSE)</f>
        <v>0</v>
      </c>
      <c r="R53" s="31">
        <f>VLOOKUP(обед4,таб,16,FALSE)</f>
        <v>0</v>
      </c>
      <c r="S53" s="32">
        <f>VLOOKUP(обед5,таб,16,FALSE)</f>
        <v>0</v>
      </c>
      <c r="T53" s="31">
        <f>VLOOKUP(обед6,таб,16,FALSE)</f>
        <v>0</v>
      </c>
      <c r="U53" s="32">
        <f>VLOOKUP(обед7,таб,16,FALSE)</f>
        <v>0</v>
      </c>
      <c r="V53" s="31">
        <f>VLOOKUP(обед8,таб,16,FALSE)</f>
        <v>0</v>
      </c>
      <c r="W53" s="31">
        <f>VLOOKUP(полдник1,таб,16,FALSE)</f>
        <v>0</v>
      </c>
      <c r="X53" s="31">
        <f>VLOOKUP(полдник2,таб,16,FALSE)</f>
        <v>208</v>
      </c>
      <c r="Y53" s="93">
        <f>VLOOKUP(полдник3,таб,16,FALSE)</f>
        <v>0</v>
      </c>
      <c r="Z53" s="33">
        <f>VLOOKUP(ужин1,таб,16,FALSE)</f>
        <v>0</v>
      </c>
      <c r="AA53" s="32">
        <f>VLOOKUP(ужин2,таб,16,FALSE)</f>
        <v>0</v>
      </c>
      <c r="AB53" s="31">
        <f>VLOOKUP(ужин3,таб,16,FALSE)</f>
        <v>0</v>
      </c>
      <c r="AC53" s="32">
        <f>VLOOKUP(ужин4,таб,16,FALSE)</f>
        <v>0</v>
      </c>
      <c r="AD53" s="31">
        <f>VLOOKUP(ужин5,таб,16,FALSE)</f>
        <v>0</v>
      </c>
      <c r="AE53" s="32">
        <f>VLOOKUP(ужин6,таб,16,FALSE)</f>
        <v>0</v>
      </c>
      <c r="AF53" s="31">
        <f>VLOOKUP(ужин7,таб,16,FALSE)</f>
        <v>0</v>
      </c>
      <c r="AG53" s="93">
        <f>VLOOKUP(ужин8,таб,16,FALSE)</f>
        <v>0</v>
      </c>
      <c r="AH53" s="152">
        <v>612053</v>
      </c>
      <c r="AI53" s="161">
        <f>AK53/сред</f>
        <v>0.208</v>
      </c>
      <c r="AJ53" s="162"/>
      <c r="AK53" s="154">
        <f>SUM(G54:AG54)</f>
        <v>3.328</v>
      </c>
      <c r="AL53" s="154"/>
      <c r="AM53" s="213">
        <f>IF(AK53=0,0,BF117)</f>
        <v>27.9</v>
      </c>
      <c r="AN53" s="155">
        <f>AK53*AM53</f>
        <v>92.85119999999999</v>
      </c>
      <c r="AP53">
        <v>52</v>
      </c>
      <c r="AQ53" s="62" t="s">
        <v>112</v>
      </c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>
        <v>148</v>
      </c>
      <c r="BE53" s="61"/>
      <c r="BF53" s="61"/>
      <c r="BG53" s="61"/>
      <c r="BH53" s="61"/>
      <c r="BI53" s="61"/>
      <c r="BJ53" s="61"/>
      <c r="BK53" s="61"/>
      <c r="BL53" s="61"/>
      <c r="BM53" s="61">
        <v>10</v>
      </c>
      <c r="BN53" s="61"/>
      <c r="BO53" s="61"/>
      <c r="BP53" s="61"/>
      <c r="BQ53" s="61"/>
      <c r="BR53" s="61"/>
      <c r="BS53" s="61"/>
      <c r="BT53" s="61"/>
      <c r="BU53" s="61"/>
      <c r="BV53" s="61"/>
      <c r="BW53" s="61">
        <v>16</v>
      </c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>
        <v>1</v>
      </c>
      <c r="DC53" s="61"/>
      <c r="DD53" s="61"/>
      <c r="DE53" s="61">
        <v>200</v>
      </c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</row>
    <row r="54" spans="1:129" ht="34.5" customHeight="1">
      <c r="A54" s="195"/>
      <c r="B54" s="195"/>
      <c r="C54" s="195"/>
      <c r="D54" s="195"/>
      <c r="E54" s="196"/>
      <c r="F54" s="66" t="s">
        <v>199</v>
      </c>
      <c r="G54" s="81">
        <f aca="true" t="shared" si="44" ref="G54:N54">IF(G53=0,"",завтракл*G53/1000)</f>
      </c>
      <c r="H54" s="49">
        <f t="shared" si="44"/>
      </c>
      <c r="I54" s="45">
        <f t="shared" si="44"/>
      </c>
      <c r="J54" s="49">
        <f t="shared" si="44"/>
      </c>
      <c r="K54" s="45">
        <f t="shared" si="44"/>
      </c>
      <c r="L54" s="45">
        <f t="shared" si="44"/>
      </c>
      <c r="M54" s="46">
        <f t="shared" si="44"/>
      </c>
      <c r="N54" s="89">
        <f t="shared" si="44"/>
      </c>
      <c r="O54" s="50">
        <f aca="true" t="shared" si="45" ref="O54:T54">IF(O53=0,"",обідл*O53/1000)</f>
      </c>
      <c r="P54" s="45">
        <f t="shared" si="45"/>
      </c>
      <c r="Q54" s="49">
        <f t="shared" si="45"/>
      </c>
      <c r="R54" s="45">
        <f t="shared" si="45"/>
      </c>
      <c r="S54" s="49">
        <f t="shared" si="45"/>
      </c>
      <c r="T54" s="45">
        <f t="shared" si="45"/>
      </c>
      <c r="U54" s="49">
        <f>IF(U53=0,"",обідл*U53/1000)</f>
      </c>
      <c r="V54" s="45">
        <f>IF(V53=0,"",обідл*V53/1000)</f>
      </c>
      <c r="W54" s="45">
        <f>IF(W53=0,"",полдникл*W53/1000)</f>
      </c>
      <c r="X54" s="45">
        <f>IF(X53=0,"",полдникл*X53/1000)</f>
        <v>3.328</v>
      </c>
      <c r="Y54" s="92">
        <f>IF(Y53=0,"",полдникл*Y53/1000)</f>
      </c>
      <c r="Z54" s="50">
        <f aca="true" t="shared" si="46" ref="Z54:AG54">IF(Z53=0,"",ужинл*Z53/1000)</f>
      </c>
      <c r="AA54" s="49">
        <f t="shared" si="46"/>
      </c>
      <c r="AB54" s="45">
        <f t="shared" si="46"/>
      </c>
      <c r="AC54" s="49">
        <f t="shared" si="46"/>
      </c>
      <c r="AD54" s="45">
        <f t="shared" si="46"/>
      </c>
      <c r="AE54" s="49">
        <f t="shared" si="46"/>
      </c>
      <c r="AF54" s="45">
        <f t="shared" si="46"/>
      </c>
      <c r="AG54" s="92">
        <f t="shared" si="46"/>
      </c>
      <c r="AH54" s="153"/>
      <c r="AI54" s="161"/>
      <c r="AJ54" s="162"/>
      <c r="AK54" s="154"/>
      <c r="AL54" s="154"/>
      <c r="AM54" s="214"/>
      <c r="AN54" s="156"/>
      <c r="AP54">
        <v>53</v>
      </c>
      <c r="AQ54" s="62" t="s">
        <v>11</v>
      </c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>
        <v>100</v>
      </c>
      <c r="DS54" s="61"/>
      <c r="DT54" s="61">
        <v>150</v>
      </c>
      <c r="DU54" s="61"/>
      <c r="DV54" s="61">
        <v>80</v>
      </c>
      <c r="DW54" s="61"/>
      <c r="DX54" s="61"/>
      <c r="DY54" s="61"/>
    </row>
    <row r="55" spans="1:129" ht="34.5" customHeight="1">
      <c r="A55" s="167" t="s">
        <v>24</v>
      </c>
      <c r="B55" s="167"/>
      <c r="C55" s="167"/>
      <c r="D55" s="167"/>
      <c r="E55" s="168"/>
      <c r="F55" s="71" t="s">
        <v>198</v>
      </c>
      <c r="G55" s="78">
        <f>VLOOKUP(завтрак1,таб,17,FALSE)</f>
        <v>0</v>
      </c>
      <c r="H55" s="34">
        <f>VLOOKUP(завтрак2,таб,17,FALSE)</f>
        <v>0</v>
      </c>
      <c r="I55" s="35">
        <f>VLOOKUP(завтрак3,таб,17,FALSE)</f>
        <v>0</v>
      </c>
      <c r="J55" s="34">
        <f>VLOOKUP(завтрак4,таб,17,FALSE)</f>
        <v>0</v>
      </c>
      <c r="K55" s="35">
        <f>VLOOKUP(завтрак5,таб,17,FALSE)</f>
        <v>0</v>
      </c>
      <c r="L55" s="35">
        <f>VLOOKUP(завтрак6,таб,17,FALSE)</f>
        <v>0</v>
      </c>
      <c r="M55" s="28">
        <f>VLOOKUP(завтрак7,таб,17,FALSE)</f>
        <v>0</v>
      </c>
      <c r="N55" s="88">
        <f>VLOOKUP(завтрак8,таб,17,FALSE)</f>
        <v>0</v>
      </c>
      <c r="O55" s="36">
        <f>VLOOKUP(обед1,таб,17,FALSE)</f>
        <v>0</v>
      </c>
      <c r="P55" s="35">
        <f>VLOOKUP(обед2,таб,17,FALSE)</f>
        <v>0</v>
      </c>
      <c r="Q55" s="34">
        <f>VLOOKUP(обед3,таб,17,FALSE)</f>
        <v>0</v>
      </c>
      <c r="R55" s="35">
        <f>VLOOKUP(обед4,таб,17,FALSE)</f>
        <v>0</v>
      </c>
      <c r="S55" s="34">
        <f>VLOOKUP(обед5,таб,17,FALSE)</f>
        <v>0</v>
      </c>
      <c r="T55" s="35">
        <f>VLOOKUP(обед6,таб,17,FALSE)</f>
        <v>0</v>
      </c>
      <c r="U55" s="34">
        <f>VLOOKUP(обед7,таб,17,FALSE)</f>
        <v>0</v>
      </c>
      <c r="V55" s="35">
        <f>VLOOKUP(обед8,таб,17,FALSE)</f>
        <v>0</v>
      </c>
      <c r="W55" s="35">
        <f>VLOOKUP(полдник1,таб,17,FALSE)</f>
        <v>20</v>
      </c>
      <c r="X55" s="35">
        <f>VLOOKUP(полдник2,таб,17,FALSE)</f>
        <v>0</v>
      </c>
      <c r="Y55" s="94">
        <f>VLOOKUP(полдник3,таб,17,FALSE)</f>
        <v>0</v>
      </c>
      <c r="Z55" s="36">
        <f>VLOOKUP(ужин1,таб,17,FALSE)</f>
        <v>0</v>
      </c>
      <c r="AA55" s="34">
        <f>VLOOKUP(ужин2,таб,17,FALSE)</f>
        <v>0</v>
      </c>
      <c r="AB55" s="35">
        <f>VLOOKUP(ужин3,таб,17,FALSE)</f>
        <v>0</v>
      </c>
      <c r="AC55" s="34">
        <f>VLOOKUP(ужин4,таб,17,FALSE)</f>
        <v>0</v>
      </c>
      <c r="AD55" s="35">
        <f>VLOOKUP(ужин5,таб,17,FALSE)</f>
        <v>0</v>
      </c>
      <c r="AE55" s="34">
        <f>VLOOKUP(ужин6,таб,17,FALSE)</f>
        <v>0</v>
      </c>
      <c r="AF55" s="35">
        <f>VLOOKUP(ужин7,таб,17,FALSE)</f>
        <v>0</v>
      </c>
      <c r="AG55" s="94">
        <f>VLOOKUP(ужин8,таб,17,FALSE)</f>
        <v>0</v>
      </c>
      <c r="AH55" s="152">
        <v>612060</v>
      </c>
      <c r="AI55" s="161">
        <f>AK55/сред</f>
        <v>0.02</v>
      </c>
      <c r="AJ55" s="162"/>
      <c r="AK55" s="154">
        <f>SUM(G56:AG56)</f>
        <v>0.32</v>
      </c>
      <c r="AL55" s="154"/>
      <c r="AM55" s="213">
        <f>IF(AK55=0,0,BG117)</f>
        <v>67.2</v>
      </c>
      <c r="AN55" s="155">
        <f>AK55*AM55</f>
        <v>21.504</v>
      </c>
      <c r="AP55">
        <v>54</v>
      </c>
      <c r="AQ55" s="62" t="s">
        <v>12</v>
      </c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</row>
    <row r="56" spans="1:129" ht="34.5" customHeight="1">
      <c r="A56" s="167"/>
      <c r="B56" s="167"/>
      <c r="C56" s="167"/>
      <c r="D56" s="167"/>
      <c r="E56" s="168"/>
      <c r="F56" s="66" t="s">
        <v>199</v>
      </c>
      <c r="G56" s="79">
        <f aca="true" t="shared" si="47" ref="G56:N56">IF(G55=0,"",завтракл*G55/1000)</f>
      </c>
      <c r="H56" s="47">
        <f t="shared" si="47"/>
      </c>
      <c r="I56" s="46">
        <f t="shared" si="47"/>
      </c>
      <c r="J56" s="47">
        <f t="shared" si="47"/>
      </c>
      <c r="K56" s="46">
        <f t="shared" si="47"/>
      </c>
      <c r="L56" s="46">
        <f t="shared" si="47"/>
      </c>
      <c r="M56" s="46">
        <f t="shared" si="47"/>
      </c>
      <c r="N56" s="89">
        <f t="shared" si="47"/>
      </c>
      <c r="O56" s="48">
        <f aca="true" t="shared" si="48" ref="O56:T56">IF(O55=0,"",обідл*O55/1000)</f>
      </c>
      <c r="P56" s="46">
        <f t="shared" si="48"/>
      </c>
      <c r="Q56" s="47">
        <f t="shared" si="48"/>
      </c>
      <c r="R56" s="46">
        <f t="shared" si="48"/>
      </c>
      <c r="S56" s="47">
        <f t="shared" si="48"/>
      </c>
      <c r="T56" s="46">
        <f t="shared" si="48"/>
      </c>
      <c r="U56" s="47">
        <f>IF(U55=0,"",обідл*U55/1000)</f>
      </c>
      <c r="V56" s="46">
        <f>IF(V55=0,"",обідл*V55/1000)</f>
      </c>
      <c r="W56" s="46">
        <f>IF(W55=0,"",полдникл*W55/1000)</f>
        <v>0.32</v>
      </c>
      <c r="X56" s="46">
        <f>IF(X55=0,"",полдникл*X55/1000)</f>
      </c>
      <c r="Y56" s="89">
        <f>IF(Y55=0,"",полдникл*Y55/1000)</f>
      </c>
      <c r="Z56" s="48">
        <f aca="true" t="shared" si="49" ref="Z56:AG56">IF(Z55=0,"",ужинл*Z55/1000)</f>
      </c>
      <c r="AA56" s="47">
        <f t="shared" si="49"/>
      </c>
      <c r="AB56" s="46">
        <f t="shared" si="49"/>
      </c>
      <c r="AC56" s="47">
        <f t="shared" si="49"/>
      </c>
      <c r="AD56" s="46">
        <f t="shared" si="49"/>
      </c>
      <c r="AE56" s="47">
        <f t="shared" si="49"/>
      </c>
      <c r="AF56" s="46">
        <f t="shared" si="49"/>
      </c>
      <c r="AG56" s="89">
        <f t="shared" si="49"/>
      </c>
      <c r="AH56" s="153"/>
      <c r="AI56" s="161"/>
      <c r="AJ56" s="162"/>
      <c r="AK56" s="154"/>
      <c r="AL56" s="154"/>
      <c r="AM56" s="214"/>
      <c r="AN56" s="156"/>
      <c r="AP56">
        <v>55</v>
      </c>
      <c r="AQ56" s="62" t="s">
        <v>167</v>
      </c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>
        <v>15</v>
      </c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>
        <v>15</v>
      </c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</row>
    <row r="57" spans="1:129" ht="34.5" customHeight="1">
      <c r="A57" s="191" t="s">
        <v>25</v>
      </c>
      <c r="B57" s="191"/>
      <c r="C57" s="191"/>
      <c r="D57" s="191"/>
      <c r="E57" s="192"/>
      <c r="F57" s="71" t="s">
        <v>198</v>
      </c>
      <c r="G57" s="80">
        <f>VLOOKUP(завтрак1,таб,18,FALSE)</f>
        <v>0</v>
      </c>
      <c r="H57" s="37">
        <f>VLOOKUP(завтрак2,таб,18,FALSE)</f>
        <v>0</v>
      </c>
      <c r="I57" s="38">
        <f>VLOOKUP(завтрак3,таб,18,FALSE)</f>
        <v>0</v>
      </c>
      <c r="J57" s="37">
        <f>VLOOKUP(завтрак4,таб,18,FALSE)</f>
        <v>0</v>
      </c>
      <c r="K57" s="38">
        <f>VLOOKUP(завтрак5,таб,18,FALSE)</f>
        <v>0</v>
      </c>
      <c r="L57" s="38">
        <f>VLOOKUP(завтрак6,таб,18,FALSE)</f>
        <v>0</v>
      </c>
      <c r="M57" s="28">
        <f>VLOOKUP(завтрак7,таб,18,FALSE)</f>
        <v>0</v>
      </c>
      <c r="N57" s="88">
        <f>VLOOKUP(завтрак8,таб,18,FALSE)</f>
        <v>0</v>
      </c>
      <c r="O57" s="39">
        <f>VLOOKUP(обед1,таб,18,FALSE)</f>
        <v>0</v>
      </c>
      <c r="P57" s="38">
        <f>VLOOKUP(обед2,таб,18,FALSE)</f>
        <v>0</v>
      </c>
      <c r="Q57" s="37">
        <f>VLOOKUP(обед3,таб,18,FALSE)</f>
        <v>0</v>
      </c>
      <c r="R57" s="38">
        <f>VLOOKUP(обед4,таб,18,FALSE)</f>
        <v>0</v>
      </c>
      <c r="S57" s="37">
        <f>VLOOKUP(обед5,таб,18,FALSE)</f>
        <v>0</v>
      </c>
      <c r="T57" s="38">
        <f>VLOOKUP(обед6,таб,18,FALSE)</f>
        <v>0</v>
      </c>
      <c r="U57" s="37">
        <f>VLOOKUP(обед7,таб,18,FALSE)</f>
        <v>0</v>
      </c>
      <c r="V57" s="38">
        <f>VLOOKUP(обед8,таб,18,FALSE)</f>
        <v>0</v>
      </c>
      <c r="W57" s="38">
        <f>VLOOKUP(полдник1,таб,18,FALSE)</f>
        <v>91</v>
      </c>
      <c r="X57" s="38">
        <f>VLOOKUP(полдник2,таб,18,FALSE)</f>
        <v>0</v>
      </c>
      <c r="Y57" s="95">
        <f>VLOOKUP(полдник3,таб,18,FALSE)</f>
        <v>0</v>
      </c>
      <c r="Z57" s="39">
        <f>VLOOKUP(ужин1,таб,18,FALSE)</f>
        <v>0</v>
      </c>
      <c r="AA57" s="37">
        <f>VLOOKUP(ужин2,таб,18,FALSE)</f>
        <v>0</v>
      </c>
      <c r="AB57" s="38">
        <f>VLOOKUP(ужин3,таб,18,FALSE)</f>
        <v>0</v>
      </c>
      <c r="AC57" s="37">
        <f>VLOOKUP(ужин4,таб,18,FALSE)</f>
        <v>0</v>
      </c>
      <c r="AD57" s="38">
        <f>VLOOKUP(ужин5,таб,18,FALSE)</f>
        <v>0</v>
      </c>
      <c r="AE57" s="37">
        <f>VLOOKUP(ужин6,таб,18,FALSE)</f>
        <v>0</v>
      </c>
      <c r="AF57" s="38">
        <f>VLOOKUP(ужин7,таб,18,FALSE)</f>
        <v>0</v>
      </c>
      <c r="AG57" s="95">
        <f>VLOOKUP(ужин8,таб,18,FALSE)</f>
        <v>0</v>
      </c>
      <c r="AH57" s="152">
        <v>612087</v>
      </c>
      <c r="AI57" s="161">
        <f>AK57/сред</f>
        <v>0.091</v>
      </c>
      <c r="AJ57" s="162"/>
      <c r="AK57" s="154">
        <f>SUM(G58:AG58)</f>
        <v>1.456</v>
      </c>
      <c r="AL57" s="154"/>
      <c r="AM57" s="213">
        <f>IF(AK57=0,0,BH117)</f>
        <v>121</v>
      </c>
      <c r="AN57" s="155">
        <f>AK57*AM57</f>
        <v>176.176</v>
      </c>
      <c r="AP57">
        <v>56</v>
      </c>
      <c r="AQ57" s="62" t="s">
        <v>242</v>
      </c>
      <c r="AR57" s="61"/>
      <c r="AS57" s="61"/>
      <c r="AT57" s="61"/>
      <c r="AU57" s="61"/>
      <c r="AV57" s="61"/>
      <c r="AW57" s="61"/>
      <c r="AX57" s="61">
        <v>152</v>
      </c>
      <c r="AY57" s="61"/>
      <c r="AZ57" s="61"/>
      <c r="BA57" s="61"/>
      <c r="BB57" s="61"/>
      <c r="BC57" s="61">
        <v>5</v>
      </c>
      <c r="BD57" s="61"/>
      <c r="BE57" s="61"/>
      <c r="BF57" s="61"/>
      <c r="BG57" s="61"/>
      <c r="BH57" s="61"/>
      <c r="BI57" s="61"/>
      <c r="BJ57" s="61"/>
      <c r="BK57" s="61"/>
      <c r="BL57" s="61">
        <v>5</v>
      </c>
      <c r="BM57" s="61"/>
      <c r="BN57" s="61"/>
      <c r="BO57" s="61"/>
      <c r="BP57" s="61"/>
      <c r="BQ57" s="61"/>
      <c r="BR57" s="61"/>
      <c r="BS57" s="61"/>
      <c r="BT57" s="61"/>
      <c r="BU57" s="61"/>
      <c r="BV57" s="61"/>
      <c r="BW57" s="61"/>
      <c r="BX57" s="61"/>
      <c r="BY57" s="61"/>
      <c r="BZ57" s="61"/>
      <c r="CA57" s="61"/>
      <c r="CB57" s="61"/>
      <c r="CC57" s="61"/>
      <c r="CD57" s="61"/>
      <c r="CE57" s="61"/>
      <c r="CF57" s="61"/>
      <c r="CG57" s="61"/>
      <c r="CH57" s="61"/>
      <c r="CI57" s="61"/>
      <c r="CJ57" s="61"/>
      <c r="CK57" s="61"/>
      <c r="CL57" s="61"/>
      <c r="CM57" s="61"/>
      <c r="CN57" s="61"/>
      <c r="CO57" s="61"/>
      <c r="CP57" s="61"/>
      <c r="CQ57" s="61"/>
      <c r="CR57" s="61"/>
      <c r="CS57" s="61"/>
      <c r="CT57" s="61"/>
      <c r="CU57" s="61"/>
      <c r="CV57" s="61"/>
      <c r="CW57" s="61"/>
      <c r="CX57" s="61"/>
      <c r="CY57" s="61"/>
      <c r="CZ57" s="61"/>
      <c r="DA57" s="61"/>
      <c r="DB57" s="61"/>
      <c r="DC57" s="61"/>
      <c r="DD57" s="61"/>
      <c r="DE57" s="61">
        <v>120</v>
      </c>
      <c r="DF57" s="61"/>
      <c r="DG57" s="61"/>
      <c r="DH57" s="61"/>
      <c r="DI57" s="61"/>
      <c r="DJ57" s="61"/>
      <c r="DK57" s="61"/>
      <c r="DL57" s="61"/>
      <c r="DM57" s="61"/>
      <c r="DN57" s="61"/>
      <c r="DO57" s="61"/>
      <c r="DP57" s="61"/>
      <c r="DQ57" s="61"/>
      <c r="DR57" s="61"/>
      <c r="DS57" s="61"/>
      <c r="DT57" s="61"/>
      <c r="DU57" s="61"/>
      <c r="DV57" s="61"/>
      <c r="DW57" s="61"/>
      <c r="DX57" s="61"/>
      <c r="DY57" s="61"/>
    </row>
    <row r="58" spans="1:129" ht="34.5" customHeight="1">
      <c r="A58" s="195"/>
      <c r="B58" s="195"/>
      <c r="C58" s="195"/>
      <c r="D58" s="195"/>
      <c r="E58" s="196"/>
      <c r="F58" s="66" t="s">
        <v>199</v>
      </c>
      <c r="G58" s="81">
        <f aca="true" t="shared" si="50" ref="G58:N58">IF(G57=0,"",завтракл*G57/1000)</f>
      </c>
      <c r="H58" s="49">
        <f t="shared" si="50"/>
      </c>
      <c r="I58" s="45">
        <f t="shared" si="50"/>
      </c>
      <c r="J58" s="49">
        <f t="shared" si="50"/>
      </c>
      <c r="K58" s="45">
        <f t="shared" si="50"/>
      </c>
      <c r="L58" s="45">
        <f t="shared" si="50"/>
      </c>
      <c r="M58" s="46">
        <f t="shared" si="50"/>
      </c>
      <c r="N58" s="89">
        <f t="shared" si="50"/>
      </c>
      <c r="O58" s="50">
        <f aca="true" t="shared" si="51" ref="O58:T58">IF(O57=0,"",обідл*O57/1000)</f>
      </c>
      <c r="P58" s="45">
        <f t="shared" si="51"/>
      </c>
      <c r="Q58" s="49">
        <f t="shared" si="51"/>
      </c>
      <c r="R58" s="45">
        <f t="shared" si="51"/>
      </c>
      <c r="S58" s="49">
        <f t="shared" si="51"/>
      </c>
      <c r="T58" s="45">
        <f t="shared" si="51"/>
      </c>
      <c r="U58" s="49">
        <f>IF(U57=0,"",обідл*U57/1000)</f>
      </c>
      <c r="V58" s="45">
        <f>IF(V57=0,"",обідл*V57/1000)</f>
      </c>
      <c r="W58" s="45">
        <f>IF(W57=0,"",полдникл*W57/1000)</f>
        <v>1.456</v>
      </c>
      <c r="X58" s="45">
        <f>IF(X57=0,"",полдникл*X57/1000)</f>
      </c>
      <c r="Y58" s="92">
        <f>IF(Y57=0,"",полдникл*Y57/1000)</f>
      </c>
      <c r="Z58" s="50">
        <f aca="true" t="shared" si="52" ref="Z58:AG58">IF(Z57=0,"",ужинл*Z57/1000)</f>
      </c>
      <c r="AA58" s="49">
        <f t="shared" si="52"/>
      </c>
      <c r="AB58" s="45">
        <f t="shared" si="52"/>
      </c>
      <c r="AC58" s="49">
        <f t="shared" si="52"/>
      </c>
      <c r="AD58" s="45">
        <f t="shared" si="52"/>
      </c>
      <c r="AE58" s="49">
        <f t="shared" si="52"/>
      </c>
      <c r="AF58" s="45">
        <f t="shared" si="52"/>
      </c>
      <c r="AG58" s="92">
        <f t="shared" si="52"/>
      </c>
      <c r="AH58" s="153"/>
      <c r="AI58" s="161"/>
      <c r="AJ58" s="162"/>
      <c r="AK58" s="154"/>
      <c r="AL58" s="154"/>
      <c r="AM58" s="214"/>
      <c r="AN58" s="156"/>
      <c r="AP58">
        <v>57</v>
      </c>
      <c r="AQ58" s="62" t="s">
        <v>113</v>
      </c>
      <c r="AR58" s="61"/>
      <c r="AS58" s="61"/>
      <c r="AT58" s="61"/>
      <c r="AU58" s="61"/>
      <c r="AV58" s="61"/>
      <c r="AW58" s="61"/>
      <c r="AX58" s="61">
        <v>101</v>
      </c>
      <c r="AY58" s="61"/>
      <c r="AZ58" s="61"/>
      <c r="BA58" s="61"/>
      <c r="BB58" s="61"/>
      <c r="BC58" s="61"/>
      <c r="BD58" s="61"/>
      <c r="BE58" s="61"/>
      <c r="BF58" s="61"/>
      <c r="BG58" s="61"/>
      <c r="BH58" s="61"/>
      <c r="BI58" s="61"/>
      <c r="BJ58" s="61"/>
      <c r="BK58" s="61"/>
      <c r="BL58" s="61"/>
      <c r="BM58" s="61"/>
      <c r="BN58" s="61"/>
      <c r="BO58" s="61"/>
      <c r="BP58" s="61"/>
      <c r="BQ58" s="61"/>
      <c r="BR58" s="61"/>
      <c r="BS58" s="61"/>
      <c r="BT58" s="61"/>
      <c r="BU58" s="61"/>
      <c r="BV58" s="61"/>
      <c r="BW58" s="61"/>
      <c r="BX58" s="61"/>
      <c r="BY58" s="61"/>
      <c r="BZ58" s="61"/>
      <c r="CA58" s="61"/>
      <c r="CB58" s="61"/>
      <c r="CC58" s="61"/>
      <c r="CD58" s="61"/>
      <c r="CE58" s="61"/>
      <c r="CF58" s="61"/>
      <c r="CG58" s="61"/>
      <c r="CH58" s="61"/>
      <c r="CI58" s="61"/>
      <c r="CJ58" s="61"/>
      <c r="CK58" s="61"/>
      <c r="CL58" s="61"/>
      <c r="CM58" s="61"/>
      <c r="CN58" s="61"/>
      <c r="CO58" s="61"/>
      <c r="CP58" s="61"/>
      <c r="CQ58" s="61"/>
      <c r="CR58" s="61"/>
      <c r="CS58" s="61"/>
      <c r="CT58" s="61"/>
      <c r="CU58" s="61"/>
      <c r="CV58" s="61"/>
      <c r="CW58" s="61"/>
      <c r="CX58" s="61"/>
      <c r="CY58" s="61"/>
      <c r="CZ58" s="61"/>
      <c r="DA58" s="61"/>
      <c r="DB58" s="61"/>
      <c r="DC58" s="61"/>
      <c r="DD58" s="61"/>
      <c r="DE58" s="61">
        <v>80</v>
      </c>
      <c r="DF58" s="61"/>
      <c r="DG58" s="61"/>
      <c r="DH58" s="61"/>
      <c r="DI58" s="61"/>
      <c r="DJ58" s="61"/>
      <c r="DK58" s="61"/>
      <c r="DL58" s="61"/>
      <c r="DM58" s="61"/>
      <c r="DN58" s="61"/>
      <c r="DO58" s="61"/>
      <c r="DP58" s="61"/>
      <c r="DQ58" s="61"/>
      <c r="DR58" s="61"/>
      <c r="DS58" s="61"/>
      <c r="DT58" s="61"/>
      <c r="DU58" s="61"/>
      <c r="DV58" s="61"/>
      <c r="DW58" s="61"/>
      <c r="DX58" s="61"/>
      <c r="DY58" s="61"/>
    </row>
    <row r="59" spans="1:129" ht="34.5" customHeight="1">
      <c r="A59" s="167" t="s">
        <v>26</v>
      </c>
      <c r="B59" s="167"/>
      <c r="C59" s="167"/>
      <c r="D59" s="167"/>
      <c r="E59" s="168"/>
      <c r="F59" s="71" t="s">
        <v>198</v>
      </c>
      <c r="G59" s="78">
        <f>VLOOKUP(завтрак1,таб,19,FALSE)</f>
        <v>0</v>
      </c>
      <c r="H59" s="34">
        <f>VLOOKUP(завтрак2,таб,19,FALSE)</f>
        <v>0</v>
      </c>
      <c r="I59" s="35">
        <f>VLOOKUP(завтрак3,таб,19,FALSE)</f>
        <v>0</v>
      </c>
      <c r="J59" s="34">
        <f>VLOOKUP(завтрак4,таб,19,FALSE)</f>
        <v>15</v>
      </c>
      <c r="K59" s="35">
        <f>VLOOKUP(завтрак5,таб,19,FALSE)</f>
        <v>0</v>
      </c>
      <c r="L59" s="35">
        <f>VLOOKUP(завтрак6,таб,19,FALSE)</f>
        <v>0</v>
      </c>
      <c r="M59" s="28">
        <f>VLOOKUP(завтрак7,таб,19,FALSE)</f>
        <v>0</v>
      </c>
      <c r="N59" s="88">
        <f>VLOOKUP(завтрак8,таб,19,FALSE)</f>
        <v>0</v>
      </c>
      <c r="O59" s="36">
        <f>VLOOKUP(обед1,таб,19,FALSE)</f>
        <v>0</v>
      </c>
      <c r="P59" s="35">
        <f>VLOOKUP(обед2,таб,19,FALSE)</f>
        <v>0</v>
      </c>
      <c r="Q59" s="34">
        <f>VLOOKUP(обед3,таб,19,FALSE)</f>
        <v>0</v>
      </c>
      <c r="R59" s="35">
        <f>VLOOKUP(обед4,таб,19,FALSE)</f>
        <v>0</v>
      </c>
      <c r="S59" s="34">
        <f>VLOOKUP(обед5,таб,19,FALSE)</f>
        <v>0</v>
      </c>
      <c r="T59" s="35">
        <f>VLOOKUP(обед6,таб,19,FALSE)</f>
        <v>0</v>
      </c>
      <c r="U59" s="34">
        <f>VLOOKUP(обед7,таб,19,FALSE)</f>
        <v>0</v>
      </c>
      <c r="V59" s="35">
        <f>VLOOKUP(обед8,таб,19,FALSE)</f>
        <v>0</v>
      </c>
      <c r="W59" s="35">
        <f>VLOOKUP(полдник1,таб,19,FALSE)</f>
        <v>0</v>
      </c>
      <c r="X59" s="35">
        <f>VLOOKUP(полдник2,таб,19,FALSE)</f>
        <v>0</v>
      </c>
      <c r="Y59" s="94">
        <f>VLOOKUP(полдник3,таб,19,FALSE)</f>
        <v>0</v>
      </c>
      <c r="Z59" s="36">
        <f>VLOOKUP(ужин1,таб,19,FALSE)</f>
        <v>0</v>
      </c>
      <c r="AA59" s="34">
        <f>VLOOKUP(ужин2,таб,19,FALSE)</f>
        <v>0</v>
      </c>
      <c r="AB59" s="35">
        <f>VLOOKUP(ужин3,таб,19,FALSE)</f>
        <v>0</v>
      </c>
      <c r="AC59" s="34">
        <f>VLOOKUP(ужин4,таб,19,FALSE)</f>
        <v>0</v>
      </c>
      <c r="AD59" s="35">
        <f>VLOOKUP(ужин5,таб,19,FALSE)</f>
        <v>0</v>
      </c>
      <c r="AE59" s="34">
        <f>VLOOKUP(ужин6,таб,19,FALSE)</f>
        <v>0</v>
      </c>
      <c r="AF59" s="35">
        <f>VLOOKUP(ужин7,таб,19,FALSE)</f>
        <v>0</v>
      </c>
      <c r="AG59" s="94">
        <f>VLOOKUP(ужин8,таб,19,FALSE)</f>
        <v>0</v>
      </c>
      <c r="AH59" s="152">
        <v>612075</v>
      </c>
      <c r="AI59" s="161">
        <f>AK59/сред</f>
        <v>0.015</v>
      </c>
      <c r="AJ59" s="162"/>
      <c r="AK59" s="154">
        <f>SUM(G60:AG60)</f>
        <v>0.24</v>
      </c>
      <c r="AL59" s="154"/>
      <c r="AM59" s="213">
        <f>IF(AK59=0,0,BI117)</f>
        <v>209</v>
      </c>
      <c r="AN59" s="155">
        <f>AK59*AM59</f>
        <v>50.16</v>
      </c>
      <c r="AP59">
        <v>58</v>
      </c>
      <c r="AQ59" s="62" t="s">
        <v>114</v>
      </c>
      <c r="AR59" s="61"/>
      <c r="AS59" s="61"/>
      <c r="AT59" s="61"/>
      <c r="AU59" s="61"/>
      <c r="AV59" s="61"/>
      <c r="AW59" s="61"/>
      <c r="AX59" s="61">
        <v>120</v>
      </c>
      <c r="AY59" s="61"/>
      <c r="AZ59" s="61"/>
      <c r="BA59" s="61"/>
      <c r="BB59" s="61"/>
      <c r="BC59" s="61">
        <v>3</v>
      </c>
      <c r="BD59" s="61"/>
      <c r="BE59" s="61"/>
      <c r="BF59" s="61"/>
      <c r="BG59" s="61"/>
      <c r="BH59" s="61"/>
      <c r="BI59" s="61"/>
      <c r="BJ59" s="61">
        <v>0.1</v>
      </c>
      <c r="BK59" s="61"/>
      <c r="BL59" s="61"/>
      <c r="BM59" s="61"/>
      <c r="BN59" s="61"/>
      <c r="BO59" s="61"/>
      <c r="BP59" s="61"/>
      <c r="BQ59" s="61"/>
      <c r="BR59" s="61"/>
      <c r="BS59" s="61"/>
      <c r="BT59" s="61"/>
      <c r="BU59" s="61"/>
      <c r="BV59" s="61"/>
      <c r="BW59" s="61"/>
      <c r="BX59" s="61"/>
      <c r="BY59" s="61"/>
      <c r="BZ59" s="61"/>
      <c r="CA59" s="61"/>
      <c r="CB59" s="61"/>
      <c r="CC59" s="61"/>
      <c r="CD59" s="61"/>
      <c r="CE59" s="61"/>
      <c r="CF59" s="61"/>
      <c r="CG59" s="61"/>
      <c r="CH59" s="61"/>
      <c r="CI59" s="61"/>
      <c r="CJ59" s="61"/>
      <c r="CK59" s="61"/>
      <c r="CL59" s="61"/>
      <c r="CM59" s="61"/>
      <c r="CN59" s="61"/>
      <c r="CO59" s="61"/>
      <c r="CP59" s="61"/>
      <c r="CQ59" s="61">
        <v>14</v>
      </c>
      <c r="CR59" s="61"/>
      <c r="CS59" s="61"/>
      <c r="CT59" s="61"/>
      <c r="CU59" s="61"/>
      <c r="CV59" s="61"/>
      <c r="CW59" s="61"/>
      <c r="CX59" s="61"/>
      <c r="CY59" s="61"/>
      <c r="CZ59" s="61"/>
      <c r="DA59" s="61"/>
      <c r="DB59" s="61"/>
      <c r="DC59" s="61"/>
      <c r="DD59" s="61"/>
      <c r="DE59" s="61">
        <v>80</v>
      </c>
      <c r="DF59" s="61"/>
      <c r="DG59" s="61"/>
      <c r="DH59" s="61"/>
      <c r="DI59" s="61">
        <v>5</v>
      </c>
      <c r="DJ59" s="61"/>
      <c r="DK59" s="61"/>
      <c r="DL59" s="61"/>
      <c r="DM59" s="61"/>
      <c r="DN59" s="61"/>
      <c r="DO59" s="61"/>
      <c r="DP59" s="61"/>
      <c r="DQ59" s="61"/>
      <c r="DR59" s="61"/>
      <c r="DS59" s="61"/>
      <c r="DT59" s="61"/>
      <c r="DU59" s="61"/>
      <c r="DV59" s="61"/>
      <c r="DW59" s="61"/>
      <c r="DX59" s="61"/>
      <c r="DY59" s="61"/>
    </row>
    <row r="60" spans="1:129" ht="34.5" customHeight="1">
      <c r="A60" s="167"/>
      <c r="B60" s="167"/>
      <c r="C60" s="167"/>
      <c r="D60" s="167"/>
      <c r="E60" s="168"/>
      <c r="F60" s="66" t="s">
        <v>199</v>
      </c>
      <c r="G60" s="79">
        <f aca="true" t="shared" si="53" ref="G60:N60">IF(G59=0,"",завтракл*G59/1000)</f>
      </c>
      <c r="H60" s="47">
        <f t="shared" si="53"/>
      </c>
      <c r="I60" s="46">
        <f t="shared" si="53"/>
      </c>
      <c r="J60" s="47">
        <f t="shared" si="53"/>
        <v>0.24</v>
      </c>
      <c r="K60" s="46">
        <f t="shared" si="53"/>
      </c>
      <c r="L60" s="46">
        <f t="shared" si="53"/>
      </c>
      <c r="M60" s="46">
        <f t="shared" si="53"/>
      </c>
      <c r="N60" s="89">
        <f t="shared" si="53"/>
      </c>
      <c r="O60" s="48">
        <f aca="true" t="shared" si="54" ref="O60:T60">IF(O59=0,"",обідл*O59/1000)</f>
      </c>
      <c r="P60" s="46">
        <f t="shared" si="54"/>
      </c>
      <c r="Q60" s="47">
        <f t="shared" si="54"/>
      </c>
      <c r="R60" s="46">
        <f t="shared" si="54"/>
      </c>
      <c r="S60" s="47">
        <f t="shared" si="54"/>
      </c>
      <c r="T60" s="46">
        <f t="shared" si="54"/>
      </c>
      <c r="U60" s="47">
        <f>IF(U59=0,"",обідл*U59/1000)</f>
      </c>
      <c r="V60" s="46">
        <f>IF(V59=0,"",обідл*V59/1000)</f>
      </c>
      <c r="W60" s="46">
        <f>IF(W59=0,"",полдникл*W59/1000)</f>
      </c>
      <c r="X60" s="46">
        <f>IF(X59=0,"",полдникл*X59/1000)</f>
      </c>
      <c r="Y60" s="89">
        <f>IF(Y59=0,"",полдникл*Y59/1000)</f>
      </c>
      <c r="Z60" s="48">
        <f aca="true" t="shared" si="55" ref="Z60:AG60">IF(Z59=0,"",ужинл*Z59/1000)</f>
      </c>
      <c r="AA60" s="47">
        <f t="shared" si="55"/>
      </c>
      <c r="AB60" s="46">
        <f t="shared" si="55"/>
      </c>
      <c r="AC60" s="47">
        <f t="shared" si="55"/>
      </c>
      <c r="AD60" s="46">
        <f t="shared" si="55"/>
      </c>
      <c r="AE60" s="47">
        <f t="shared" si="55"/>
      </c>
      <c r="AF60" s="46">
        <f t="shared" si="55"/>
      </c>
      <c r="AG60" s="89">
        <f t="shared" si="55"/>
      </c>
      <c r="AH60" s="153"/>
      <c r="AI60" s="161"/>
      <c r="AJ60" s="162"/>
      <c r="AK60" s="154"/>
      <c r="AL60" s="154"/>
      <c r="AM60" s="214"/>
      <c r="AN60" s="156"/>
      <c r="AP60">
        <v>59</v>
      </c>
      <c r="AQ60" s="62" t="s">
        <v>115</v>
      </c>
      <c r="AR60" s="61"/>
      <c r="AS60" s="61"/>
      <c r="AT60" s="61"/>
      <c r="AU60" s="61"/>
      <c r="AV60" s="61"/>
      <c r="AW60" s="61"/>
      <c r="AX60" s="61">
        <v>80</v>
      </c>
      <c r="AY60" s="61"/>
      <c r="AZ60" s="61"/>
      <c r="BA60" s="61"/>
      <c r="BB60" s="61"/>
      <c r="BC60" s="61">
        <v>5</v>
      </c>
      <c r="BD60" s="61"/>
      <c r="BE60" s="61"/>
      <c r="BF60" s="61"/>
      <c r="BG60" s="61"/>
      <c r="BH60" s="61"/>
      <c r="BI60" s="61"/>
      <c r="BJ60" s="61"/>
      <c r="BK60" s="61"/>
      <c r="BL60" s="61"/>
      <c r="BM60" s="61"/>
      <c r="BN60" s="61"/>
      <c r="BO60" s="61"/>
      <c r="BP60" s="61"/>
      <c r="BQ60" s="61"/>
      <c r="BR60" s="61"/>
      <c r="BS60" s="61"/>
      <c r="BT60" s="61"/>
      <c r="BU60" s="61"/>
      <c r="BV60" s="61"/>
      <c r="BW60" s="61">
        <v>1</v>
      </c>
      <c r="BX60" s="61"/>
      <c r="BY60" s="61"/>
      <c r="BZ60" s="61"/>
      <c r="CA60" s="61"/>
      <c r="CB60" s="61"/>
      <c r="CC60" s="61"/>
      <c r="CD60" s="61"/>
      <c r="CE60" s="61"/>
      <c r="CF60" s="61"/>
      <c r="CG60" s="61"/>
      <c r="CH60" s="61"/>
      <c r="CI60" s="61">
        <v>10</v>
      </c>
      <c r="CJ60" s="61">
        <v>23</v>
      </c>
      <c r="CK60" s="61"/>
      <c r="CL60" s="61"/>
      <c r="CM60" s="61">
        <v>2</v>
      </c>
      <c r="CN60" s="61"/>
      <c r="CO60" s="61"/>
      <c r="CP60" s="61"/>
      <c r="CQ60" s="61"/>
      <c r="CR60" s="61"/>
      <c r="CS60" s="61"/>
      <c r="CT60" s="61"/>
      <c r="CU60" s="61"/>
      <c r="CV60" s="61"/>
      <c r="CW60" s="61"/>
      <c r="CX60" s="61"/>
      <c r="CY60" s="61"/>
      <c r="CZ60" s="61"/>
      <c r="DA60" s="61"/>
      <c r="DB60" s="61"/>
      <c r="DC60" s="61"/>
      <c r="DD60" s="61"/>
      <c r="DE60" s="61">
        <v>100</v>
      </c>
      <c r="DF60" s="61"/>
      <c r="DG60" s="61"/>
      <c r="DH60" s="61"/>
      <c r="DI60" s="61"/>
      <c r="DJ60" s="61"/>
      <c r="DK60" s="61"/>
      <c r="DL60" s="61"/>
      <c r="DM60" s="61"/>
      <c r="DN60" s="61"/>
      <c r="DO60" s="61"/>
      <c r="DP60" s="61"/>
      <c r="DQ60" s="61"/>
      <c r="DR60" s="61"/>
      <c r="DS60" s="61"/>
      <c r="DT60" s="61"/>
      <c r="DU60" s="61"/>
      <c r="DV60" s="61"/>
      <c r="DW60" s="61"/>
      <c r="DX60" s="61"/>
      <c r="DY60" s="61"/>
    </row>
    <row r="61" spans="1:129" ht="34.5" customHeight="1">
      <c r="A61" s="167" t="s">
        <v>27</v>
      </c>
      <c r="B61" s="167"/>
      <c r="C61" s="167"/>
      <c r="D61" s="167"/>
      <c r="E61" s="168"/>
      <c r="F61" s="71" t="s">
        <v>202</v>
      </c>
      <c r="G61" s="78">
        <f>VLOOKUP(завтрак1,таб,20,FALSE)</f>
        <v>0</v>
      </c>
      <c r="H61" s="34">
        <f>VLOOKUP(завтрак2,таб,20,FALSE)</f>
        <v>0</v>
      </c>
      <c r="I61" s="35">
        <f>VLOOKUP(завтрак3,таб,20,FALSE)</f>
        <v>0</v>
      </c>
      <c r="J61" s="34">
        <f>VLOOKUP(завтрак4,таб,20,FALSE)</f>
        <v>0</v>
      </c>
      <c r="K61" s="35">
        <f>VLOOKUP(завтрак5,таб,20,FALSE)</f>
        <v>0</v>
      </c>
      <c r="L61" s="35">
        <f>VLOOKUP(завтрак6,таб,20,FALSE)</f>
        <v>0</v>
      </c>
      <c r="M61" s="28">
        <f>VLOOKUP(завтрак7,таб,20,FALSE)</f>
        <v>0</v>
      </c>
      <c r="N61" s="88">
        <f>VLOOKUP(завтрак8,таб,20,FALSE)</f>
        <v>0</v>
      </c>
      <c r="O61" s="36">
        <f>VLOOKUP(обед1,таб,20,FALSE)</f>
        <v>0</v>
      </c>
      <c r="P61" s="35">
        <f>VLOOKUP(обед2,таб,20,FALSE)</f>
        <v>0</v>
      </c>
      <c r="Q61" s="34">
        <f>VLOOKUP(обед3,таб,20,FALSE)</f>
        <v>0</v>
      </c>
      <c r="R61" s="35">
        <f>VLOOKUP(обед4,таб,20,FALSE)</f>
        <v>0</v>
      </c>
      <c r="S61" s="34">
        <f>VLOOKUP(обед5,таб,20,FALSE)</f>
        <v>0</v>
      </c>
      <c r="T61" s="35">
        <f>VLOOKUP(обед6,таб,20,FALSE)</f>
        <v>0</v>
      </c>
      <c r="U61" s="34">
        <f>VLOOKUP(обед7,таб,20,FALSE)</f>
        <v>0</v>
      </c>
      <c r="V61" s="35">
        <f>VLOOKUP(обед8,таб,20,FALSE)</f>
        <v>0</v>
      </c>
      <c r="W61" s="35">
        <f>VLOOKUP(полдник1,таб,20,FALSE)</f>
        <v>0.08</v>
      </c>
      <c r="X61" s="35">
        <f>VLOOKUP(полдник2,таб,20,FALSE)</f>
        <v>0</v>
      </c>
      <c r="Y61" s="94">
        <f>VLOOKUP(полдник3,таб,20,FALSE)</f>
        <v>0</v>
      </c>
      <c r="Z61" s="36">
        <f>VLOOKUP(ужин1,таб,20,FALSE)</f>
        <v>0</v>
      </c>
      <c r="AA61" s="34">
        <f>VLOOKUP(ужин2,таб,20,FALSE)</f>
        <v>0.1</v>
      </c>
      <c r="AB61" s="35">
        <f>VLOOKUP(ужин3,таб,20,FALSE)</f>
        <v>0</v>
      </c>
      <c r="AC61" s="34">
        <f>VLOOKUP(ужин4,таб,20,FALSE)</f>
        <v>1</v>
      </c>
      <c r="AD61" s="35">
        <f>VLOOKUP(ужин5,таб,20,FALSE)</f>
        <v>0</v>
      </c>
      <c r="AE61" s="34">
        <f>VLOOKUP(ужин6,таб,20,FALSE)</f>
        <v>0</v>
      </c>
      <c r="AF61" s="35">
        <f>VLOOKUP(ужин7,таб,20,FALSE)</f>
        <v>0</v>
      </c>
      <c r="AG61" s="94">
        <f>VLOOKUP(ужин8,таб,20,FALSE)</f>
        <v>0</v>
      </c>
      <c r="AH61" s="152">
        <v>612064</v>
      </c>
      <c r="AI61" s="161">
        <f>AK61/сред</f>
        <v>1.18</v>
      </c>
      <c r="AJ61" s="162"/>
      <c r="AK61" s="160">
        <f>SUM(G62:AG62)</f>
        <v>18.88</v>
      </c>
      <c r="AL61" s="160"/>
      <c r="AM61" s="213">
        <f>IF(AK61=0,0,BJ117)</f>
        <v>2.1</v>
      </c>
      <c r="AN61" s="155">
        <f>AK61*AM61</f>
        <v>39.647999999999996</v>
      </c>
      <c r="AP61">
        <v>60</v>
      </c>
      <c r="AQ61" s="62" t="s">
        <v>117</v>
      </c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>
        <v>5</v>
      </c>
      <c r="BD61" s="61"/>
      <c r="BE61" s="61"/>
      <c r="BF61" s="61"/>
      <c r="BG61" s="61"/>
      <c r="BH61" s="61">
        <v>105</v>
      </c>
      <c r="BI61" s="61"/>
      <c r="BJ61" s="61">
        <v>0.08</v>
      </c>
      <c r="BK61" s="61"/>
      <c r="BL61" s="61">
        <v>25</v>
      </c>
      <c r="BM61" s="61"/>
      <c r="BN61" s="61"/>
      <c r="BO61" s="61"/>
      <c r="BP61" s="61"/>
      <c r="BQ61" s="61"/>
      <c r="BR61" s="61"/>
      <c r="BS61" s="61"/>
      <c r="BT61" s="61"/>
      <c r="BU61" s="61"/>
      <c r="BV61" s="61"/>
      <c r="BW61" s="61">
        <v>10</v>
      </c>
      <c r="BX61" s="61"/>
      <c r="BY61" s="61"/>
      <c r="BZ61" s="61"/>
      <c r="CA61" s="61"/>
      <c r="CB61" s="61"/>
      <c r="CC61" s="61"/>
      <c r="CD61" s="61"/>
      <c r="CE61" s="61"/>
      <c r="CF61" s="61"/>
      <c r="CG61" s="61"/>
      <c r="CH61" s="61"/>
      <c r="CI61" s="61"/>
      <c r="CJ61" s="61"/>
      <c r="CK61" s="61"/>
      <c r="CL61" s="61"/>
      <c r="CM61" s="61"/>
      <c r="CN61" s="61"/>
      <c r="CO61" s="61"/>
      <c r="CP61" s="61"/>
      <c r="CQ61" s="61"/>
      <c r="CR61" s="61"/>
      <c r="CS61" s="61"/>
      <c r="CT61" s="61"/>
      <c r="CU61" s="61"/>
      <c r="CV61" s="61"/>
      <c r="CW61" s="61"/>
      <c r="CX61" s="61"/>
      <c r="CY61" s="61"/>
      <c r="CZ61" s="61"/>
      <c r="DA61" s="61"/>
      <c r="DB61" s="61"/>
      <c r="DC61" s="61"/>
      <c r="DD61" s="61"/>
      <c r="DE61" s="61">
        <v>120</v>
      </c>
      <c r="DF61" s="61"/>
      <c r="DG61" s="61"/>
      <c r="DH61" s="61"/>
      <c r="DI61" s="61"/>
      <c r="DJ61" s="61"/>
      <c r="DK61" s="61"/>
      <c r="DL61" s="61"/>
      <c r="DM61" s="61"/>
      <c r="DN61" s="61"/>
      <c r="DO61" s="61"/>
      <c r="DP61" s="61"/>
      <c r="DQ61" s="61"/>
      <c r="DR61" s="61"/>
      <c r="DS61" s="61"/>
      <c r="DT61" s="61"/>
      <c r="DU61" s="61"/>
      <c r="DV61" s="61"/>
      <c r="DW61" s="61"/>
      <c r="DX61" s="61"/>
      <c r="DY61" s="61"/>
    </row>
    <row r="62" spans="1:129" ht="34.5" customHeight="1">
      <c r="A62" s="167"/>
      <c r="B62" s="167"/>
      <c r="C62" s="167"/>
      <c r="D62" s="167"/>
      <c r="E62" s="168"/>
      <c r="F62" s="66" t="s">
        <v>202</v>
      </c>
      <c r="G62" s="82">
        <f aca="true" t="shared" si="56" ref="G62:L62">IF(G61=0,"",завтракл*G61)</f>
      </c>
      <c r="H62" s="25">
        <f t="shared" si="56"/>
      </c>
      <c r="I62" s="24">
        <f t="shared" si="56"/>
      </c>
      <c r="J62" s="25">
        <f t="shared" si="56"/>
      </c>
      <c r="K62" s="24">
        <f t="shared" si="56"/>
      </c>
      <c r="L62" s="24">
        <f t="shared" si="56"/>
      </c>
      <c r="M62" s="24">
        <f>IF(M61=0,"",завтракл*M61)</f>
      </c>
      <c r="N62" s="90">
        <f>IF(N61=0,"",завтракл*N61)</f>
      </c>
      <c r="O62" s="26">
        <f aca="true" t="shared" si="57" ref="O62:V62">IF(O61=0,"",завтракл*O61)</f>
      </c>
      <c r="P62" s="24">
        <f t="shared" si="57"/>
      </c>
      <c r="Q62" s="25">
        <f t="shared" si="57"/>
      </c>
      <c r="R62" s="24">
        <f t="shared" si="57"/>
      </c>
      <c r="S62" s="25">
        <f t="shared" si="57"/>
      </c>
      <c r="T62" s="24">
        <f t="shared" si="57"/>
      </c>
      <c r="U62" s="25">
        <f t="shared" si="57"/>
      </c>
      <c r="V62" s="24">
        <f t="shared" si="57"/>
      </c>
      <c r="W62" s="24">
        <f>IF(W61=0,"",полдникл*W61)</f>
        <v>1.28</v>
      </c>
      <c r="X62" s="24">
        <f>IF(X61=0,"",полдникл*X61)</f>
      </c>
      <c r="Y62" s="90">
        <f>IF(Y61=0,"",полдникл*Y61)</f>
      </c>
      <c r="Z62" s="26">
        <f aca="true" t="shared" si="58" ref="Z62:AG62">IF(Z61=0,"",ужинл*Z61)</f>
      </c>
      <c r="AA62" s="25">
        <f t="shared" si="58"/>
        <v>1.6</v>
      </c>
      <c r="AB62" s="24">
        <f>IF(AB61=0,"",ужинл*AB61)</f>
      </c>
      <c r="AC62" s="25">
        <f t="shared" si="58"/>
        <v>16</v>
      </c>
      <c r="AD62" s="24">
        <f t="shared" si="58"/>
      </c>
      <c r="AE62" s="25">
        <f t="shared" si="58"/>
      </c>
      <c r="AF62" s="24">
        <f t="shared" si="58"/>
      </c>
      <c r="AG62" s="90">
        <f t="shared" si="58"/>
      </c>
      <c r="AH62" s="153"/>
      <c r="AI62" s="161"/>
      <c r="AJ62" s="162"/>
      <c r="AK62" s="160"/>
      <c r="AL62" s="160"/>
      <c r="AM62" s="214"/>
      <c r="AN62" s="156"/>
      <c r="AP62">
        <v>61</v>
      </c>
      <c r="AQ62" s="62" t="s">
        <v>118</v>
      </c>
      <c r="AR62" s="61"/>
      <c r="AS62" s="61"/>
      <c r="AT62" s="61"/>
      <c r="AU62" s="61"/>
      <c r="AV62" s="61"/>
      <c r="AW62" s="61"/>
      <c r="AX62" s="61"/>
      <c r="AY62" s="61"/>
      <c r="AZ62" s="61"/>
      <c r="BA62" s="61"/>
      <c r="BB62" s="61"/>
      <c r="BC62" s="61">
        <v>3</v>
      </c>
      <c r="BD62" s="61"/>
      <c r="BE62" s="61"/>
      <c r="BF62" s="61"/>
      <c r="BG62" s="61">
        <v>20</v>
      </c>
      <c r="BH62" s="61">
        <v>91</v>
      </c>
      <c r="BI62" s="61"/>
      <c r="BJ62" s="61">
        <v>0.08</v>
      </c>
      <c r="BK62" s="61"/>
      <c r="BL62" s="61">
        <v>13</v>
      </c>
      <c r="BM62" s="61"/>
      <c r="BN62" s="61"/>
      <c r="BO62" s="61"/>
      <c r="BP62" s="61"/>
      <c r="BQ62" s="61"/>
      <c r="BR62" s="61"/>
      <c r="BS62" s="61"/>
      <c r="BT62" s="61"/>
      <c r="BU62" s="61"/>
      <c r="BV62" s="61"/>
      <c r="BW62" s="61">
        <v>10</v>
      </c>
      <c r="BX62" s="61"/>
      <c r="BY62" s="61"/>
      <c r="BZ62" s="61"/>
      <c r="CA62" s="61"/>
      <c r="CB62" s="61"/>
      <c r="CC62" s="61"/>
      <c r="CD62" s="61"/>
      <c r="CE62" s="61"/>
      <c r="CF62" s="61"/>
      <c r="CG62" s="61"/>
      <c r="CH62" s="61"/>
      <c r="CI62" s="61"/>
      <c r="CJ62" s="61"/>
      <c r="CK62" s="61"/>
      <c r="CL62" s="61"/>
      <c r="CM62" s="61"/>
      <c r="CN62" s="61"/>
      <c r="CO62" s="61"/>
      <c r="CP62" s="61"/>
      <c r="CQ62" s="61"/>
      <c r="CR62" s="61"/>
      <c r="CS62" s="61"/>
      <c r="CT62" s="61"/>
      <c r="CU62" s="61"/>
      <c r="CV62" s="61"/>
      <c r="CW62" s="61"/>
      <c r="CX62" s="61"/>
      <c r="CY62" s="61"/>
      <c r="CZ62" s="61"/>
      <c r="DA62" s="61"/>
      <c r="DB62" s="61"/>
      <c r="DC62" s="61"/>
      <c r="DD62" s="61"/>
      <c r="DE62" s="61" t="s">
        <v>293</v>
      </c>
      <c r="DF62" s="61"/>
      <c r="DG62" s="61"/>
      <c r="DH62" s="61"/>
      <c r="DI62" s="61"/>
      <c r="DJ62" s="61"/>
      <c r="DK62" s="61"/>
      <c r="DL62" s="61"/>
      <c r="DM62" s="61"/>
      <c r="DN62" s="61"/>
      <c r="DO62" s="61"/>
      <c r="DP62" s="61"/>
      <c r="DQ62" s="61"/>
      <c r="DR62" s="61"/>
      <c r="DS62" s="61"/>
      <c r="DT62" s="61"/>
      <c r="DU62" s="61"/>
      <c r="DV62" s="61"/>
      <c r="DW62" s="61"/>
      <c r="DX62" s="61"/>
      <c r="DY62" s="61"/>
    </row>
    <row r="63" spans="1:129" ht="34.5" customHeight="1">
      <c r="A63" s="191" t="s">
        <v>28</v>
      </c>
      <c r="B63" s="191"/>
      <c r="C63" s="191"/>
      <c r="D63" s="191"/>
      <c r="E63" s="192"/>
      <c r="F63" s="71" t="s">
        <v>198</v>
      </c>
      <c r="G63" s="80">
        <f>VLOOKUP(завтрак1,таб,21,FALSE)</f>
        <v>0</v>
      </c>
      <c r="H63" s="37">
        <f>VLOOKUP(завтрак2,таб,21,FALSE)</f>
        <v>0</v>
      </c>
      <c r="I63" s="38">
        <f>VLOOKUP(завтрак3,таб,21,FALSE)</f>
        <v>0</v>
      </c>
      <c r="J63" s="37">
        <f>VLOOKUP(завтрак4,таб,21,FALSE)</f>
        <v>0</v>
      </c>
      <c r="K63" s="38">
        <f>VLOOKUP(завтрак5,таб,21,FALSE)</f>
        <v>0</v>
      </c>
      <c r="L63" s="38">
        <f>VLOOKUP(завтрак6,таб,21,FALSE)</f>
        <v>0</v>
      </c>
      <c r="M63" s="28">
        <f>VLOOKUP(завтрак7,таб,21,FALSE)</f>
        <v>0</v>
      </c>
      <c r="N63" s="88">
        <f>VLOOKUP(завтрак8,таб,21,FALSE)</f>
        <v>0</v>
      </c>
      <c r="O63" s="39">
        <f>VLOOKUP(обед1,таб,21,FALSE)</f>
        <v>0</v>
      </c>
      <c r="P63" s="38">
        <f>VLOOKUP(обед2,таб,21,FALSE)</f>
        <v>0</v>
      </c>
      <c r="Q63" s="37">
        <f>VLOOKUP(обед3,таб,21,FALSE)</f>
        <v>0</v>
      </c>
      <c r="R63" s="38">
        <f>VLOOKUP(обед4,таб,21,FALSE)</f>
        <v>0</v>
      </c>
      <c r="S63" s="37">
        <f>VLOOKUP(обед5,таб,21,FALSE)</f>
        <v>0</v>
      </c>
      <c r="T63" s="38">
        <f>VLOOKUP(обед6,таб,21,FALSE)</f>
        <v>0</v>
      </c>
      <c r="U63" s="37">
        <f>VLOOKUP(обед7,таб,21,FALSE)</f>
        <v>0</v>
      </c>
      <c r="V63" s="38">
        <f>VLOOKUP(обед8,таб,21,FALSE)</f>
        <v>0</v>
      </c>
      <c r="W63" s="38">
        <f>VLOOKUP(полдник1,таб,21,FALSE)</f>
        <v>0</v>
      </c>
      <c r="X63" s="38">
        <f>VLOOKUP(полдник2,таб,21,FALSE)</f>
        <v>0</v>
      </c>
      <c r="Y63" s="95">
        <f>VLOOKUP(полдник3,таб,21,FALSE)</f>
        <v>0</v>
      </c>
      <c r="Z63" s="39">
        <f>VLOOKUP(ужин1,таб,21,FALSE)</f>
        <v>0</v>
      </c>
      <c r="AA63" s="37">
        <f>VLOOKUP(ужин2,таб,21,FALSE)</f>
        <v>0</v>
      </c>
      <c r="AB63" s="38">
        <f>VLOOKUP(ужин3,таб,21,FALSE)</f>
        <v>0</v>
      </c>
      <c r="AC63" s="37">
        <f>VLOOKUP(ужин4,таб,21,FALSE)</f>
        <v>0</v>
      </c>
      <c r="AD63" s="38">
        <f>VLOOKUP(ужин5,таб,21,FALSE)</f>
        <v>0</v>
      </c>
      <c r="AE63" s="37">
        <f>VLOOKUP(ужин6,таб,21,FALSE)</f>
        <v>0</v>
      </c>
      <c r="AF63" s="38">
        <f>VLOOKUP(ужин7,таб,21,FALSE)</f>
        <v>0</v>
      </c>
      <c r="AG63" s="95">
        <f>VLOOKUP(ужин8,таб,21,FALSE)</f>
        <v>0</v>
      </c>
      <c r="AH63" s="152">
        <v>612112</v>
      </c>
      <c r="AI63" s="161">
        <f>AK63/сред</f>
        <v>0</v>
      </c>
      <c r="AJ63" s="162"/>
      <c r="AK63" s="154">
        <f>SUM(G64:AG64)</f>
        <v>0</v>
      </c>
      <c r="AL63" s="154"/>
      <c r="AM63" s="213">
        <f>IF(AK63=0,0,BK117)</f>
        <v>0</v>
      </c>
      <c r="AN63" s="155">
        <f>AK63*AM63</f>
        <v>0</v>
      </c>
      <c r="AP63">
        <v>62</v>
      </c>
      <c r="AQ63" s="62" t="s">
        <v>119</v>
      </c>
      <c r="AR63" s="61"/>
      <c r="AS63" s="61"/>
      <c r="AT63" s="61"/>
      <c r="AU63" s="61"/>
      <c r="AV63" s="61"/>
      <c r="AW63" s="61"/>
      <c r="AX63" s="61"/>
      <c r="AY63" s="61"/>
      <c r="AZ63" s="61"/>
      <c r="BA63" s="61"/>
      <c r="BB63" s="61"/>
      <c r="BC63" s="61">
        <v>3</v>
      </c>
      <c r="BD63" s="61"/>
      <c r="BE63" s="61"/>
      <c r="BF63" s="61"/>
      <c r="BG63" s="61"/>
      <c r="BH63" s="61">
        <v>91</v>
      </c>
      <c r="BI63" s="61"/>
      <c r="BJ63" s="61">
        <v>0.08</v>
      </c>
      <c r="BK63" s="61"/>
      <c r="BL63" s="61">
        <v>13</v>
      </c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>
        <v>10</v>
      </c>
      <c r="BX63" s="61"/>
      <c r="BY63" s="61"/>
      <c r="BZ63" s="61"/>
      <c r="CA63" s="61"/>
      <c r="CB63" s="61"/>
      <c r="CC63" s="61"/>
      <c r="CD63" s="61"/>
      <c r="CE63" s="61">
        <v>15</v>
      </c>
      <c r="CF63" s="61"/>
      <c r="CG63" s="61"/>
      <c r="CH63" s="61"/>
      <c r="CI63" s="61"/>
      <c r="CJ63" s="61"/>
      <c r="CK63" s="61"/>
      <c r="CL63" s="61"/>
      <c r="CM63" s="61"/>
      <c r="CN63" s="61"/>
      <c r="CO63" s="61"/>
      <c r="CP63" s="61"/>
      <c r="CQ63" s="61"/>
      <c r="CR63" s="61"/>
      <c r="CS63" s="61"/>
      <c r="CT63" s="61"/>
      <c r="CU63" s="61"/>
      <c r="CV63" s="61"/>
      <c r="CW63" s="61"/>
      <c r="CX63" s="61"/>
      <c r="CY63" s="61"/>
      <c r="CZ63" s="61"/>
      <c r="DA63" s="61"/>
      <c r="DB63" s="61"/>
      <c r="DC63" s="61"/>
      <c r="DD63" s="61"/>
      <c r="DE63" s="61" t="s">
        <v>295</v>
      </c>
      <c r="DF63" s="61"/>
      <c r="DG63" s="61"/>
      <c r="DH63" s="61"/>
      <c r="DI63" s="61"/>
      <c r="DJ63" s="61"/>
      <c r="DK63" s="61"/>
      <c r="DL63" s="61"/>
      <c r="DM63" s="61"/>
      <c r="DN63" s="61"/>
      <c r="DO63" s="61"/>
      <c r="DP63" s="61"/>
      <c r="DQ63" s="61"/>
      <c r="DR63" s="61"/>
      <c r="DS63" s="61"/>
      <c r="DT63" s="61"/>
      <c r="DU63" s="61"/>
      <c r="DV63" s="61"/>
      <c r="DW63" s="61"/>
      <c r="DX63" s="61"/>
      <c r="DY63" s="61"/>
    </row>
    <row r="64" spans="1:129" ht="34.5" customHeight="1">
      <c r="A64" s="195"/>
      <c r="B64" s="195"/>
      <c r="C64" s="195"/>
      <c r="D64" s="195"/>
      <c r="E64" s="196"/>
      <c r="F64" s="66" t="s">
        <v>199</v>
      </c>
      <c r="G64" s="81">
        <f aca="true" t="shared" si="59" ref="G64:N64">IF(G63=0,"",завтракл*G63/1000)</f>
      </c>
      <c r="H64" s="49">
        <f t="shared" si="59"/>
      </c>
      <c r="I64" s="45">
        <f t="shared" si="59"/>
      </c>
      <c r="J64" s="49">
        <f t="shared" si="59"/>
      </c>
      <c r="K64" s="45">
        <f t="shared" si="59"/>
      </c>
      <c r="L64" s="45">
        <f t="shared" si="59"/>
      </c>
      <c r="M64" s="46">
        <f t="shared" si="59"/>
      </c>
      <c r="N64" s="89">
        <f t="shared" si="59"/>
      </c>
      <c r="O64" s="50">
        <f aca="true" t="shared" si="60" ref="O64:T64">IF(O63=0,"",обідл*O63/1000)</f>
      </c>
      <c r="P64" s="45">
        <f t="shared" si="60"/>
      </c>
      <c r="Q64" s="49">
        <f t="shared" si="60"/>
      </c>
      <c r="R64" s="45">
        <f t="shared" si="60"/>
      </c>
      <c r="S64" s="49">
        <f t="shared" si="60"/>
      </c>
      <c r="T64" s="45">
        <f t="shared" si="60"/>
      </c>
      <c r="U64" s="49">
        <f>IF(U63=0,"",обідл*U63/1000)</f>
      </c>
      <c r="V64" s="45">
        <f>IF(V63=0,"",обідл*V63/1000)</f>
      </c>
      <c r="W64" s="45">
        <f>IF(W63=0,"",полдникл*W63/1000)</f>
      </c>
      <c r="X64" s="45">
        <f>IF(X63=0,"",полдникл*X63/1000)</f>
      </c>
      <c r="Y64" s="92">
        <f>IF(Y63=0,"",полдникл*Y63/1000)</f>
      </c>
      <c r="Z64" s="50">
        <f aca="true" t="shared" si="61" ref="Z64:AG64">IF(Z63=0,"",ужинл*Z63/1000)</f>
      </c>
      <c r="AA64" s="49">
        <f t="shared" si="61"/>
      </c>
      <c r="AB64" s="45">
        <f t="shared" si="61"/>
      </c>
      <c r="AC64" s="49">
        <f t="shared" si="61"/>
      </c>
      <c r="AD64" s="45">
        <f t="shared" si="61"/>
      </c>
      <c r="AE64" s="49">
        <f t="shared" si="61"/>
      </c>
      <c r="AF64" s="45">
        <f t="shared" si="61"/>
      </c>
      <c r="AG64" s="92">
        <f t="shared" si="61"/>
      </c>
      <c r="AH64" s="153"/>
      <c r="AI64" s="161"/>
      <c r="AJ64" s="162"/>
      <c r="AK64" s="154"/>
      <c r="AL64" s="154"/>
      <c r="AM64" s="214"/>
      <c r="AN64" s="156"/>
      <c r="AP64">
        <v>63</v>
      </c>
      <c r="AQ64" s="62" t="s">
        <v>244</v>
      </c>
      <c r="AR64" s="61"/>
      <c r="AS64" s="61"/>
      <c r="AT64" s="61"/>
      <c r="AU64" s="61"/>
      <c r="AV64" s="61"/>
      <c r="AW64" s="61"/>
      <c r="AX64" s="61"/>
      <c r="AY64" s="61"/>
      <c r="AZ64" s="61"/>
      <c r="BA64" s="61"/>
      <c r="BB64" s="61"/>
      <c r="BC64" s="61">
        <v>3</v>
      </c>
      <c r="BD64" s="61"/>
      <c r="BE64" s="61"/>
      <c r="BF64" s="61"/>
      <c r="BG64" s="61">
        <v>20</v>
      </c>
      <c r="BH64" s="61">
        <v>94</v>
      </c>
      <c r="BI64" s="61"/>
      <c r="BJ64" s="61">
        <v>0.08</v>
      </c>
      <c r="BK64" s="61"/>
      <c r="BL64" s="61"/>
      <c r="BM64" s="61"/>
      <c r="BN64" s="61"/>
      <c r="BO64" s="61">
        <v>7</v>
      </c>
      <c r="BP64" s="61"/>
      <c r="BQ64" s="61"/>
      <c r="BR64" s="61"/>
      <c r="BS64" s="61"/>
      <c r="BT64" s="61"/>
      <c r="BU64" s="61"/>
      <c r="BV64" s="61"/>
      <c r="BW64" s="61">
        <v>7</v>
      </c>
      <c r="BX64" s="61"/>
      <c r="BY64" s="61"/>
      <c r="BZ64" s="61"/>
      <c r="CA64" s="61"/>
      <c r="CB64" s="61"/>
      <c r="CC64" s="61">
        <v>10</v>
      </c>
      <c r="CD64" s="61"/>
      <c r="CE64" s="61"/>
      <c r="CF64" s="61"/>
      <c r="CG64" s="61"/>
      <c r="CH64" s="61"/>
      <c r="CI64" s="61"/>
      <c r="CJ64" s="61"/>
      <c r="CK64" s="61"/>
      <c r="CL64" s="61"/>
      <c r="CM64" s="61"/>
      <c r="CN64" s="61"/>
      <c r="CO64" s="61"/>
      <c r="CP64" s="61"/>
      <c r="CQ64" s="61"/>
      <c r="CR64" s="61"/>
      <c r="CS64" s="61"/>
      <c r="CT64" s="61"/>
      <c r="CU64" s="61"/>
      <c r="CV64" s="61"/>
      <c r="CW64" s="61"/>
      <c r="CX64" s="61"/>
      <c r="CY64" s="61"/>
      <c r="CZ64" s="61"/>
      <c r="DA64" s="61"/>
      <c r="DB64" s="61"/>
      <c r="DC64" s="61"/>
      <c r="DD64" s="61"/>
      <c r="DE64" s="61" t="s">
        <v>293</v>
      </c>
      <c r="DF64" s="61"/>
      <c r="DG64" s="61"/>
      <c r="DH64" s="61"/>
      <c r="DI64" s="61">
        <v>3</v>
      </c>
      <c r="DJ64" s="61"/>
      <c r="DK64" s="61"/>
      <c r="DL64" s="61"/>
      <c r="DM64" s="61"/>
      <c r="DN64" s="61"/>
      <c r="DO64" s="61"/>
      <c r="DP64" s="61"/>
      <c r="DQ64" s="61"/>
      <c r="DR64" s="61"/>
      <c r="DS64" s="61"/>
      <c r="DT64" s="61"/>
      <c r="DU64" s="61"/>
      <c r="DV64" s="61"/>
      <c r="DW64" s="61"/>
      <c r="DX64" s="61"/>
      <c r="DY64" s="61"/>
    </row>
    <row r="65" spans="1:129" ht="34.5" customHeight="1">
      <c r="A65" s="167" t="s">
        <v>135</v>
      </c>
      <c r="B65" s="167"/>
      <c r="C65" s="167"/>
      <c r="D65" s="167"/>
      <c r="E65" s="168"/>
      <c r="F65" s="71" t="s">
        <v>198</v>
      </c>
      <c r="G65" s="78">
        <f>VLOOKUP(завтрак1,таб,22,FALSE)</f>
        <v>0</v>
      </c>
      <c r="H65" s="34">
        <f>VLOOKUP(завтрак2,таб,22,FALSE)</f>
        <v>0</v>
      </c>
      <c r="I65" s="35">
        <f>VLOOKUP(завтрак3,таб,22,FALSE)</f>
        <v>0</v>
      </c>
      <c r="J65" s="34">
        <f>VLOOKUP(завтрак4,таб,22,FALSE)</f>
        <v>0</v>
      </c>
      <c r="K65" s="35">
        <f>VLOOKUP(завтрак5,таб,22,FALSE)</f>
        <v>0</v>
      </c>
      <c r="L65" s="35">
        <f>VLOOKUP(завтрак6,таб,22,FALSE)</f>
        <v>0</v>
      </c>
      <c r="M65" s="28">
        <f>VLOOKUP(завтрак7,таб,22,FALSE)</f>
        <v>0</v>
      </c>
      <c r="N65" s="88">
        <f>VLOOKUP(завтрак8,таб,22,FALSE)</f>
        <v>0</v>
      </c>
      <c r="O65" s="36">
        <f>VLOOKUP(обед1,таб,22,FALSE)</f>
        <v>23</v>
      </c>
      <c r="P65" s="35">
        <f>VLOOKUP(обед2,таб,22,FALSE)</f>
        <v>0</v>
      </c>
      <c r="Q65" s="34">
        <f>VLOOKUP(обед3,таб,22,FALSE)</f>
        <v>0</v>
      </c>
      <c r="R65" s="35">
        <f>VLOOKUP(обед4,таб,22,FALSE)</f>
        <v>0</v>
      </c>
      <c r="S65" s="34">
        <f>VLOOKUP(обед5,таб,22,FALSE)</f>
        <v>0</v>
      </c>
      <c r="T65" s="35">
        <f>VLOOKUP(обед6,таб,22,FALSE)</f>
        <v>0</v>
      </c>
      <c r="U65" s="34">
        <f>VLOOKUP(обед7,таб,22,FALSE)</f>
        <v>0</v>
      </c>
      <c r="V65" s="35">
        <f>VLOOKUP(обед8,таб,22,FALSE)</f>
        <v>0</v>
      </c>
      <c r="W65" s="35">
        <f>VLOOKUP(полдник1,таб,22,FALSE)</f>
        <v>13</v>
      </c>
      <c r="X65" s="35">
        <f>VLOOKUP(полдник2,таб,22,FALSE)</f>
        <v>0</v>
      </c>
      <c r="Y65" s="94">
        <f>VLOOKUP(полдник3,таб,22,FALSE)</f>
        <v>0</v>
      </c>
      <c r="Z65" s="36">
        <f>VLOOKUP(ужин1,таб,22,FALSE)</f>
        <v>0</v>
      </c>
      <c r="AA65" s="34">
        <f>VLOOKUP(ужин2,таб,22,FALSE)</f>
        <v>0</v>
      </c>
      <c r="AB65" s="35">
        <f>VLOOKUP(ужин3,таб,22,FALSE)</f>
        <v>0</v>
      </c>
      <c r="AC65" s="34">
        <f>VLOOKUP(ужин4,таб,22,FALSE)</f>
        <v>0</v>
      </c>
      <c r="AD65" s="35">
        <f>VLOOKUP(ужин5,таб,22,FALSE)</f>
        <v>0</v>
      </c>
      <c r="AE65" s="34">
        <f>VLOOKUP(ужин6,таб,22,FALSE)</f>
        <v>0</v>
      </c>
      <c r="AF65" s="35">
        <f>VLOOKUP(ужин7,таб,22,FALSE)</f>
        <v>0</v>
      </c>
      <c r="AG65" s="94">
        <f>VLOOKUP(ужин8,таб,22,FALSE)</f>
        <v>0</v>
      </c>
      <c r="AH65" s="152">
        <v>613001</v>
      </c>
      <c r="AI65" s="161">
        <f>AK65/сред</f>
        <v>0.036</v>
      </c>
      <c r="AJ65" s="162"/>
      <c r="AK65" s="154">
        <f>SUM(G66:AG66)</f>
        <v>0.576</v>
      </c>
      <c r="AL65" s="154"/>
      <c r="AM65" s="213">
        <f>IF(AK65=0,0,BL117)</f>
        <v>10.6</v>
      </c>
      <c r="AN65" s="155">
        <f>AK65*AM65</f>
        <v>6.105599999999999</v>
      </c>
      <c r="AP65">
        <v>64</v>
      </c>
      <c r="AQ65" s="62" t="s">
        <v>245</v>
      </c>
      <c r="AR65" s="61"/>
      <c r="AS65" s="61"/>
      <c r="AT65" s="61"/>
      <c r="AU65" s="61"/>
      <c r="AV65" s="61"/>
      <c r="AW65" s="61"/>
      <c r="AX65" s="61"/>
      <c r="AY65" s="61"/>
      <c r="AZ65" s="61">
        <v>3</v>
      </c>
      <c r="BA65" s="61"/>
      <c r="BB65" s="61"/>
      <c r="BC65" s="61">
        <v>2</v>
      </c>
      <c r="BD65" s="61"/>
      <c r="BE65" s="61"/>
      <c r="BF65" s="61"/>
      <c r="BG65" s="61">
        <v>20</v>
      </c>
      <c r="BH65" s="61">
        <v>38</v>
      </c>
      <c r="BI65" s="61"/>
      <c r="BJ65" s="61">
        <v>0.08</v>
      </c>
      <c r="BK65" s="61"/>
      <c r="BL65" s="61"/>
      <c r="BM65" s="61"/>
      <c r="BN65" s="61"/>
      <c r="BO65" s="61">
        <v>10</v>
      </c>
      <c r="BP65" s="61"/>
      <c r="BQ65" s="61"/>
      <c r="BR65" s="61"/>
      <c r="BS65" s="61"/>
      <c r="BT65" s="61"/>
      <c r="BU65" s="61"/>
      <c r="BV65" s="61"/>
      <c r="BW65" s="61">
        <v>5</v>
      </c>
      <c r="BX65" s="61"/>
      <c r="BY65" s="61"/>
      <c r="BZ65" s="61"/>
      <c r="CA65" s="61"/>
      <c r="CB65" s="61"/>
      <c r="CC65" s="61">
        <v>10</v>
      </c>
      <c r="CD65" s="61"/>
      <c r="CE65" s="61"/>
      <c r="CF65" s="61"/>
      <c r="CG65" s="61"/>
      <c r="CH65" s="61"/>
      <c r="CI65" s="61"/>
      <c r="CJ65" s="61">
        <v>79</v>
      </c>
      <c r="CK65" s="61"/>
      <c r="CL65" s="61"/>
      <c r="CM65" s="61"/>
      <c r="CN65" s="61"/>
      <c r="CO65" s="61"/>
      <c r="CP65" s="61"/>
      <c r="CQ65" s="61"/>
      <c r="CR65" s="61"/>
      <c r="CS65" s="61"/>
      <c r="CT65" s="61"/>
      <c r="CU65" s="61"/>
      <c r="CV65" s="61"/>
      <c r="CW65" s="61"/>
      <c r="CX65" s="61"/>
      <c r="CY65" s="61"/>
      <c r="CZ65" s="61"/>
      <c r="DA65" s="61"/>
      <c r="DB65" s="61"/>
      <c r="DC65" s="61"/>
      <c r="DD65" s="61"/>
      <c r="DE65" s="61" t="s">
        <v>293</v>
      </c>
      <c r="DF65" s="61"/>
      <c r="DG65" s="61"/>
      <c r="DH65" s="61"/>
      <c r="DI65" s="61"/>
      <c r="DJ65" s="61"/>
      <c r="DK65" s="61"/>
      <c r="DL65" s="61"/>
      <c r="DM65" s="61"/>
      <c r="DN65" s="61"/>
      <c r="DO65" s="61"/>
      <c r="DP65" s="61"/>
      <c r="DQ65" s="61"/>
      <c r="DR65" s="61"/>
      <c r="DS65" s="61"/>
      <c r="DT65" s="61"/>
      <c r="DU65" s="61"/>
      <c r="DV65" s="61"/>
      <c r="DW65" s="61"/>
      <c r="DX65" s="61"/>
      <c r="DY65" s="61"/>
    </row>
    <row r="66" spans="1:129" ht="34.5" customHeight="1">
      <c r="A66" s="167"/>
      <c r="B66" s="167"/>
      <c r="C66" s="167"/>
      <c r="D66" s="167"/>
      <c r="E66" s="168"/>
      <c r="F66" s="66" t="s">
        <v>199</v>
      </c>
      <c r="G66" s="79">
        <f aca="true" t="shared" si="62" ref="G66:N66">IF(G65=0,"",завтракл*G65/1000)</f>
      </c>
      <c r="H66" s="47">
        <f t="shared" si="62"/>
      </c>
      <c r="I66" s="46">
        <f t="shared" si="62"/>
      </c>
      <c r="J66" s="47">
        <f t="shared" si="62"/>
      </c>
      <c r="K66" s="46">
        <f t="shared" si="62"/>
      </c>
      <c r="L66" s="46">
        <f t="shared" si="62"/>
      </c>
      <c r="M66" s="46">
        <f t="shared" si="62"/>
      </c>
      <c r="N66" s="89">
        <f t="shared" si="62"/>
      </c>
      <c r="O66" s="48">
        <f aca="true" t="shared" si="63" ref="O66:T66">IF(O65=0,"",обідл*O65/1000)</f>
        <v>0.368</v>
      </c>
      <c r="P66" s="46">
        <f t="shared" si="63"/>
      </c>
      <c r="Q66" s="47">
        <f t="shared" si="63"/>
      </c>
      <c r="R66" s="46">
        <f t="shared" si="63"/>
      </c>
      <c r="S66" s="47">
        <f t="shared" si="63"/>
      </c>
      <c r="T66" s="46">
        <f t="shared" si="63"/>
      </c>
      <c r="U66" s="47">
        <f>IF(U65=0,"",обідл*U65/1000)</f>
      </c>
      <c r="V66" s="46">
        <f>IF(V65=0,"",обідл*V65/1000)</f>
      </c>
      <c r="W66" s="46">
        <f>IF(W65=0,"",полдникл*W65/1000)</f>
        <v>0.208</v>
      </c>
      <c r="X66" s="46">
        <f>IF(X65=0,"",полдникл*X65/1000)</f>
      </c>
      <c r="Y66" s="89">
        <f>IF(Y65=0,"",полдникл*Y65/1000)</f>
      </c>
      <c r="Z66" s="48">
        <f aca="true" t="shared" si="64" ref="Z66:AG66">IF(Z65=0,"",ужинл*Z65/1000)</f>
      </c>
      <c r="AA66" s="47">
        <f t="shared" si="64"/>
      </c>
      <c r="AB66" s="46">
        <f t="shared" si="64"/>
      </c>
      <c r="AC66" s="47">
        <f t="shared" si="64"/>
      </c>
      <c r="AD66" s="46">
        <f t="shared" si="64"/>
      </c>
      <c r="AE66" s="47">
        <f t="shared" si="64"/>
      </c>
      <c r="AF66" s="46">
        <f t="shared" si="64"/>
      </c>
      <c r="AG66" s="89">
        <f t="shared" si="64"/>
      </c>
      <c r="AH66" s="153"/>
      <c r="AI66" s="161"/>
      <c r="AJ66" s="162"/>
      <c r="AK66" s="154"/>
      <c r="AL66" s="154"/>
      <c r="AM66" s="214"/>
      <c r="AN66" s="156"/>
      <c r="AP66">
        <v>65</v>
      </c>
      <c r="AQ66" s="62" t="s">
        <v>246</v>
      </c>
      <c r="AR66" s="61"/>
      <c r="AS66" s="61"/>
      <c r="AT66" s="61"/>
      <c r="AU66" s="61"/>
      <c r="AV66" s="61"/>
      <c r="AW66" s="61"/>
      <c r="AX66" s="61"/>
      <c r="AY66" s="61"/>
      <c r="AZ66" s="61"/>
      <c r="BA66" s="61"/>
      <c r="BB66" s="61"/>
      <c r="BC66" s="61">
        <v>3</v>
      </c>
      <c r="BD66" s="61">
        <v>18</v>
      </c>
      <c r="BE66" s="61"/>
      <c r="BF66" s="61"/>
      <c r="BG66" s="61">
        <v>20</v>
      </c>
      <c r="BH66" s="61">
        <v>56</v>
      </c>
      <c r="BI66" s="61"/>
      <c r="BJ66" s="61">
        <v>0.1</v>
      </c>
      <c r="BK66" s="61"/>
      <c r="BL66" s="61"/>
      <c r="BM66" s="61"/>
      <c r="BN66" s="61"/>
      <c r="BO66" s="61">
        <v>7</v>
      </c>
      <c r="BP66" s="61"/>
      <c r="BQ66" s="61"/>
      <c r="BR66" s="61"/>
      <c r="BS66" s="61"/>
      <c r="BT66" s="61"/>
      <c r="BU66" s="61"/>
      <c r="BV66" s="61"/>
      <c r="BW66" s="61">
        <v>7</v>
      </c>
      <c r="BX66" s="61"/>
      <c r="BY66" s="61"/>
      <c r="BZ66" s="61"/>
      <c r="CA66" s="61"/>
      <c r="CB66" s="61"/>
      <c r="CC66" s="61">
        <v>10</v>
      </c>
      <c r="CD66" s="61"/>
      <c r="CE66" s="61"/>
      <c r="CF66" s="61"/>
      <c r="CG66" s="61"/>
      <c r="CH66" s="61"/>
      <c r="CI66" s="61"/>
      <c r="CJ66" s="61">
        <v>23</v>
      </c>
      <c r="CK66" s="61"/>
      <c r="CL66" s="61"/>
      <c r="CM66" s="61"/>
      <c r="CN66" s="61"/>
      <c r="CO66" s="61"/>
      <c r="CP66" s="61"/>
      <c r="CQ66" s="61"/>
      <c r="CR66" s="61"/>
      <c r="CS66" s="61"/>
      <c r="CT66" s="61"/>
      <c r="CU66" s="61"/>
      <c r="CV66" s="61"/>
      <c r="CW66" s="61"/>
      <c r="CX66" s="61"/>
      <c r="CY66" s="61"/>
      <c r="CZ66" s="61"/>
      <c r="DA66" s="61"/>
      <c r="DB66" s="61"/>
      <c r="DC66" s="61"/>
      <c r="DD66" s="61"/>
      <c r="DE66" s="61" t="s">
        <v>293</v>
      </c>
      <c r="DF66" s="61"/>
      <c r="DG66" s="61"/>
      <c r="DH66" s="61"/>
      <c r="DI66" s="61">
        <v>3</v>
      </c>
      <c r="DJ66" s="61"/>
      <c r="DK66" s="61"/>
      <c r="DL66" s="61"/>
      <c r="DM66" s="61"/>
      <c r="DN66" s="61"/>
      <c r="DO66" s="61"/>
      <c r="DP66" s="61"/>
      <c r="DQ66" s="61"/>
      <c r="DR66" s="61"/>
      <c r="DS66" s="61"/>
      <c r="DT66" s="61"/>
      <c r="DU66" s="61"/>
      <c r="DV66" s="61"/>
      <c r="DW66" s="61"/>
      <c r="DX66" s="61"/>
      <c r="DY66" s="61"/>
    </row>
    <row r="67" spans="1:129" ht="34.5" customHeight="1">
      <c r="A67" s="191" t="s">
        <v>29</v>
      </c>
      <c r="B67" s="191"/>
      <c r="C67" s="191"/>
      <c r="D67" s="191"/>
      <c r="E67" s="192"/>
      <c r="F67" s="71" t="s">
        <v>198</v>
      </c>
      <c r="G67" s="80">
        <f>VLOOKUP(завтрак1,таб,23,FALSE)</f>
        <v>0</v>
      </c>
      <c r="H67" s="37">
        <f>VLOOKUP(завтрак2,таб,23,FALSE)</f>
        <v>0</v>
      </c>
      <c r="I67" s="38">
        <f>VLOOKUP(завтрак3,таб,23,FALSE)</f>
        <v>0</v>
      </c>
      <c r="J67" s="37">
        <f>VLOOKUP(завтрак4,таб,23,FALSE)</f>
        <v>0</v>
      </c>
      <c r="K67" s="38">
        <f>VLOOKUP(завтрак5,таб,23,FALSE)</f>
        <v>0</v>
      </c>
      <c r="L67" s="38">
        <f>VLOOKUP(завтрак6,таб,23,FALSE)</f>
        <v>0</v>
      </c>
      <c r="M67" s="28">
        <f>VLOOKUP(завтрак7,таб,23,FALSE)</f>
        <v>0</v>
      </c>
      <c r="N67" s="88">
        <f>VLOOKUP(завтрак8,таб,23,FALSE)</f>
        <v>0</v>
      </c>
      <c r="O67" s="39">
        <f>VLOOKUP(обед1,таб,23,FALSE)</f>
        <v>0</v>
      </c>
      <c r="P67" s="38">
        <f>VLOOKUP(обед2,таб,23,FALSE)</f>
        <v>0</v>
      </c>
      <c r="Q67" s="37">
        <f>VLOOKUP(обед3,таб,23,FALSE)</f>
        <v>0</v>
      </c>
      <c r="R67" s="38">
        <f>VLOOKUP(обед4,таб,23,FALSE)</f>
        <v>0</v>
      </c>
      <c r="S67" s="37">
        <f>VLOOKUP(обед5,таб,23,FALSE)</f>
        <v>0</v>
      </c>
      <c r="T67" s="38">
        <f>VLOOKUP(обед6,таб,23,FALSE)</f>
        <v>0</v>
      </c>
      <c r="U67" s="37">
        <f>VLOOKUP(обед7,таб,23,FALSE)</f>
        <v>0</v>
      </c>
      <c r="V67" s="38">
        <f>VLOOKUP(обед8,таб,23,FALSE)</f>
        <v>0</v>
      </c>
      <c r="W67" s="38">
        <f>VLOOKUP(полдник1,таб,23,FALSE)</f>
        <v>0</v>
      </c>
      <c r="X67" s="38">
        <f>VLOOKUP(полдник2,таб,23,FALSE)</f>
        <v>0</v>
      </c>
      <c r="Y67" s="95">
        <f>VLOOKUP(полдник3,таб,23,FALSE)</f>
        <v>0</v>
      </c>
      <c r="Z67" s="39">
        <f>VLOOKUP(ужин1,таб,23,FALSE)</f>
        <v>0</v>
      </c>
      <c r="AA67" s="37">
        <f>VLOOKUP(ужин2,таб,23,FALSE)</f>
        <v>0</v>
      </c>
      <c r="AB67" s="38">
        <f>VLOOKUP(ужин3,таб,23,FALSE)</f>
        <v>0</v>
      </c>
      <c r="AC67" s="37">
        <f>VLOOKUP(ужин4,таб,23,FALSE)</f>
        <v>0</v>
      </c>
      <c r="AD67" s="38">
        <f>VLOOKUP(ужин5,таб,23,FALSE)</f>
        <v>0</v>
      </c>
      <c r="AE67" s="37">
        <f>VLOOKUP(ужин6,таб,23,FALSE)</f>
        <v>0</v>
      </c>
      <c r="AF67" s="38">
        <f>VLOOKUP(ужин7,таб,23,FALSE)</f>
        <v>8</v>
      </c>
      <c r="AG67" s="95">
        <f>VLOOKUP(ужин8,таб,23,FALSE)</f>
        <v>0</v>
      </c>
      <c r="AH67" s="152">
        <v>613016</v>
      </c>
      <c r="AI67" s="161">
        <f>AK67/сред</f>
        <v>0.008</v>
      </c>
      <c r="AJ67" s="162"/>
      <c r="AK67" s="154">
        <f>SUM(G68:AG68)</f>
        <v>0.128</v>
      </c>
      <c r="AL67" s="154"/>
      <c r="AM67" s="213">
        <f>IF(AK67=0,0,BM117)</f>
        <v>75.5</v>
      </c>
      <c r="AN67" s="155">
        <f>AK67*AM67</f>
        <v>9.664</v>
      </c>
      <c r="AP67">
        <v>66</v>
      </c>
      <c r="AQ67" s="62" t="s">
        <v>247</v>
      </c>
      <c r="AR67" s="61"/>
      <c r="AS67" s="61"/>
      <c r="AT67" s="61"/>
      <c r="AU67" s="61"/>
      <c r="AV67" s="61"/>
      <c r="AW67" s="61"/>
      <c r="AX67" s="61"/>
      <c r="AY67" s="61"/>
      <c r="AZ67" s="61"/>
      <c r="BA67" s="61"/>
      <c r="BB67" s="61"/>
      <c r="BC67" s="61">
        <v>5</v>
      </c>
      <c r="BD67" s="61">
        <v>80</v>
      </c>
      <c r="BE67" s="61"/>
      <c r="BF67" s="61"/>
      <c r="BG67" s="61">
        <v>20</v>
      </c>
      <c r="BH67" s="61"/>
      <c r="BI67" s="61"/>
      <c r="BJ67" s="61">
        <v>0.1</v>
      </c>
      <c r="BK67" s="61"/>
      <c r="BL67" s="61"/>
      <c r="BM67" s="61"/>
      <c r="BN67" s="61"/>
      <c r="BO67" s="61"/>
      <c r="BP67" s="61"/>
      <c r="BQ67" s="61"/>
      <c r="BR67" s="61">
        <v>40</v>
      </c>
      <c r="BS67" s="61"/>
      <c r="BT67" s="61"/>
      <c r="BU67" s="61"/>
      <c r="BV67" s="61"/>
      <c r="BW67" s="61">
        <v>11</v>
      </c>
      <c r="BX67" s="61"/>
      <c r="BY67" s="61"/>
      <c r="BZ67" s="61"/>
      <c r="CA67" s="61"/>
      <c r="CB67" s="61"/>
      <c r="CC67" s="61">
        <v>10</v>
      </c>
      <c r="CD67" s="61"/>
      <c r="CE67" s="61"/>
      <c r="CF67" s="61">
        <v>46</v>
      </c>
      <c r="CG67" s="61"/>
      <c r="CH67" s="61"/>
      <c r="CI67" s="61"/>
      <c r="CJ67" s="61"/>
      <c r="CK67" s="61"/>
      <c r="CL67" s="61"/>
      <c r="CM67" s="61"/>
      <c r="CN67" s="61"/>
      <c r="CO67" s="61"/>
      <c r="CP67" s="61"/>
      <c r="CQ67" s="61"/>
      <c r="CR67" s="61"/>
      <c r="CS67" s="61"/>
      <c r="CT67" s="61"/>
      <c r="CU67" s="61"/>
      <c r="CV67" s="61"/>
      <c r="CW67" s="61"/>
      <c r="CX67" s="61"/>
      <c r="CY67" s="61"/>
      <c r="CZ67" s="61"/>
      <c r="DA67" s="61"/>
      <c r="DB67" s="61"/>
      <c r="DC67" s="61"/>
      <c r="DD67" s="61"/>
      <c r="DE67" s="61">
        <v>200</v>
      </c>
      <c r="DF67" s="61"/>
      <c r="DG67" s="61"/>
      <c r="DH67" s="61"/>
      <c r="DI67" s="61">
        <v>5</v>
      </c>
      <c r="DJ67" s="61"/>
      <c r="DK67" s="61"/>
      <c r="DL67" s="61"/>
      <c r="DM67" s="61"/>
      <c r="DN67" s="61"/>
      <c r="DO67" s="61"/>
      <c r="DP67" s="61"/>
      <c r="DQ67" s="61"/>
      <c r="DR67" s="61"/>
      <c r="DS67" s="61"/>
      <c r="DT67" s="61"/>
      <c r="DU67" s="61"/>
      <c r="DV67" s="61"/>
      <c r="DW67" s="61"/>
      <c r="DX67" s="61"/>
      <c r="DY67" s="61"/>
    </row>
    <row r="68" spans="1:129" ht="34.5" customHeight="1">
      <c r="A68" s="195"/>
      <c r="B68" s="195"/>
      <c r="C68" s="195"/>
      <c r="D68" s="195"/>
      <c r="E68" s="196"/>
      <c r="F68" s="66" t="s">
        <v>199</v>
      </c>
      <c r="G68" s="81">
        <f aca="true" t="shared" si="65" ref="G68:N68">IF(G67=0,"",завтракл*G67/1000)</f>
      </c>
      <c r="H68" s="49">
        <f t="shared" si="65"/>
      </c>
      <c r="I68" s="45">
        <f t="shared" si="65"/>
      </c>
      <c r="J68" s="49">
        <f t="shared" si="65"/>
      </c>
      <c r="K68" s="45">
        <f t="shared" si="65"/>
      </c>
      <c r="L68" s="45">
        <f t="shared" si="65"/>
      </c>
      <c r="M68" s="46">
        <f t="shared" si="65"/>
      </c>
      <c r="N68" s="89">
        <f t="shared" si="65"/>
      </c>
      <c r="O68" s="50">
        <f aca="true" t="shared" si="66" ref="O68:T68">IF(O67=0,"",обідл*O67/1000)</f>
      </c>
      <c r="P68" s="45">
        <f t="shared" si="66"/>
      </c>
      <c r="Q68" s="49">
        <f t="shared" si="66"/>
      </c>
      <c r="R68" s="45">
        <f t="shared" si="66"/>
      </c>
      <c r="S68" s="49">
        <f t="shared" si="66"/>
      </c>
      <c r="T68" s="45">
        <f t="shared" si="66"/>
      </c>
      <c r="U68" s="49">
        <f>IF(U67=0,"",обідл*U67/1000)</f>
      </c>
      <c r="V68" s="45">
        <f>IF(V67=0,"",обідл*V67/1000)</f>
      </c>
      <c r="W68" s="45">
        <f>IF(W67=0,"",полдникл*W67/1000)</f>
      </c>
      <c r="X68" s="45">
        <f>IF(X67=0,"",полдникл*X67/1000)</f>
      </c>
      <c r="Y68" s="92">
        <f>IF(Y67=0,"",полдникл*Y67/1000)</f>
      </c>
      <c r="Z68" s="50">
        <f aca="true" t="shared" si="67" ref="Z68:AG68">IF(Z67=0,"",ужинл*Z67/1000)</f>
      </c>
      <c r="AA68" s="49">
        <f t="shared" si="67"/>
      </c>
      <c r="AB68" s="45">
        <f t="shared" si="67"/>
      </c>
      <c r="AC68" s="49">
        <f t="shared" si="67"/>
      </c>
      <c r="AD68" s="45">
        <f t="shared" si="67"/>
      </c>
      <c r="AE68" s="49">
        <f t="shared" si="67"/>
      </c>
      <c r="AF68" s="45">
        <f t="shared" si="67"/>
        <v>0.128</v>
      </c>
      <c r="AG68" s="92">
        <f t="shared" si="67"/>
      </c>
      <c r="AH68" s="153"/>
      <c r="AI68" s="161"/>
      <c r="AJ68" s="162"/>
      <c r="AK68" s="154"/>
      <c r="AL68" s="154"/>
      <c r="AM68" s="214"/>
      <c r="AN68" s="156"/>
      <c r="AP68">
        <v>67</v>
      </c>
      <c r="AQ68" s="62" t="s">
        <v>248</v>
      </c>
      <c r="AR68" s="61"/>
      <c r="AS68" s="61"/>
      <c r="AT68" s="61"/>
      <c r="AU68" s="61"/>
      <c r="AV68" s="61"/>
      <c r="AW68" s="61"/>
      <c r="AX68" s="61"/>
      <c r="AY68" s="61"/>
      <c r="AZ68" s="61">
        <v>2</v>
      </c>
      <c r="BA68" s="61"/>
      <c r="BB68" s="61"/>
      <c r="BC68" s="61">
        <v>3</v>
      </c>
      <c r="BD68" s="61">
        <v>14</v>
      </c>
      <c r="BE68" s="61"/>
      <c r="BF68" s="61"/>
      <c r="BG68" s="61"/>
      <c r="BH68" s="61">
        <v>29</v>
      </c>
      <c r="BI68" s="61"/>
      <c r="BJ68" s="61">
        <v>0.1</v>
      </c>
      <c r="BK68" s="61"/>
      <c r="BL68" s="61">
        <v>38</v>
      </c>
      <c r="BM68" s="61"/>
      <c r="BN68" s="61"/>
      <c r="BO68" s="61"/>
      <c r="BP68" s="61"/>
      <c r="BQ68" s="61"/>
      <c r="BR68" s="61"/>
      <c r="BS68" s="61"/>
      <c r="BT68" s="61"/>
      <c r="BU68" s="61"/>
      <c r="BV68" s="61"/>
      <c r="BW68" s="61">
        <v>16</v>
      </c>
      <c r="BX68" s="61"/>
      <c r="BY68" s="61"/>
      <c r="BZ68" s="61"/>
      <c r="CA68" s="61"/>
      <c r="CB68" s="61"/>
      <c r="CC68" s="61">
        <v>10</v>
      </c>
      <c r="CD68" s="61"/>
      <c r="CE68" s="61"/>
      <c r="CF68" s="61"/>
      <c r="CG68" s="61"/>
      <c r="CH68" s="61"/>
      <c r="CI68" s="61"/>
      <c r="CJ68" s="61"/>
      <c r="CK68" s="61"/>
      <c r="CL68" s="61"/>
      <c r="CM68" s="61"/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>
        <v>1</v>
      </c>
      <c r="DA68" s="61"/>
      <c r="DB68" s="61"/>
      <c r="DC68" s="61"/>
      <c r="DD68" s="61"/>
      <c r="DE68" s="61">
        <v>75</v>
      </c>
      <c r="DF68" s="61"/>
      <c r="DG68" s="61"/>
      <c r="DH68" s="61"/>
      <c r="DI68" s="61"/>
      <c r="DJ68" s="61"/>
      <c r="DK68" s="61"/>
      <c r="DL68" s="61"/>
      <c r="DM68" s="61"/>
      <c r="DN68" s="61"/>
      <c r="DO68" s="61"/>
      <c r="DP68" s="61"/>
      <c r="DQ68" s="61"/>
      <c r="DR68" s="61"/>
      <c r="DS68" s="61"/>
      <c r="DT68" s="61"/>
      <c r="DU68" s="61"/>
      <c r="DV68" s="61"/>
      <c r="DW68" s="61"/>
      <c r="DX68" s="61"/>
      <c r="DY68" s="61"/>
    </row>
    <row r="69" spans="1:129" ht="31.5" customHeight="1">
      <c r="A69" s="167" t="s">
        <v>30</v>
      </c>
      <c r="B69" s="167"/>
      <c r="C69" s="167"/>
      <c r="D69" s="167"/>
      <c r="E69" s="168"/>
      <c r="F69" s="71" t="s">
        <v>198</v>
      </c>
      <c r="G69" s="78">
        <f>VLOOKUP(завтрак1,таб,24,FALSE)</f>
        <v>0</v>
      </c>
      <c r="H69" s="34">
        <f>VLOOKUP(завтрак2,таб,24,FALSE)</f>
        <v>0</v>
      </c>
      <c r="I69" s="35">
        <f>VLOOKUP(завтрак3,таб,24,FALSE)</f>
        <v>0</v>
      </c>
      <c r="J69" s="34">
        <f>VLOOKUP(завтрак4,таб,24,FALSE)</f>
        <v>0</v>
      </c>
      <c r="K69" s="35">
        <f>VLOOKUP(завтрак5,таб,24,FALSE)</f>
        <v>0</v>
      </c>
      <c r="L69" s="35">
        <f>VLOOKUP(завтрак6,таб,24,FALSE)</f>
        <v>0</v>
      </c>
      <c r="M69" s="28">
        <f>VLOOKUP(завтрак7,таб,24,FALSE)</f>
        <v>0</v>
      </c>
      <c r="N69" s="88">
        <f>VLOOKUP(завтрак8,таб,24,FALSE)</f>
        <v>0</v>
      </c>
      <c r="O69" s="36">
        <f>VLOOKUP(обед1,таб,24,FALSE)</f>
        <v>0</v>
      </c>
      <c r="P69" s="35">
        <f>VLOOKUP(обед2,таб,24,FALSE)</f>
        <v>0</v>
      </c>
      <c r="Q69" s="34">
        <f>VLOOKUP(обед3,таб,24,FALSE)</f>
        <v>0</v>
      </c>
      <c r="R69" s="35">
        <f>VLOOKUP(обед4,таб,24,FALSE)</f>
        <v>0</v>
      </c>
      <c r="S69" s="34">
        <f>VLOOKUP(обед5,таб,24,FALSE)</f>
        <v>0</v>
      </c>
      <c r="T69" s="35">
        <f>VLOOKUP(обед6,таб,24,FALSE)</f>
        <v>0</v>
      </c>
      <c r="U69" s="34">
        <f>VLOOKUP(обед7,таб,24,FALSE)</f>
        <v>0</v>
      </c>
      <c r="V69" s="35">
        <f>VLOOKUP(обед8,таб,24,FALSE)</f>
        <v>0</v>
      </c>
      <c r="W69" s="35">
        <f>VLOOKUP(полдник1,таб,24,FALSE)</f>
        <v>0</v>
      </c>
      <c r="X69" s="35">
        <f>VLOOKUP(полдник2,таб,24,FALSE)</f>
        <v>0</v>
      </c>
      <c r="Y69" s="94">
        <f>VLOOKUP(полдник3,таб,24,FALSE)</f>
        <v>0</v>
      </c>
      <c r="Z69" s="36">
        <f>VLOOKUP(ужин1,таб,24,FALSE)</f>
        <v>48</v>
      </c>
      <c r="AA69" s="34">
        <f>VLOOKUP(ужин2,таб,24,FALSE)</f>
        <v>0</v>
      </c>
      <c r="AB69" s="35">
        <f>VLOOKUP(ужин3,таб,24,FALSE)</f>
        <v>0</v>
      </c>
      <c r="AC69" s="34">
        <f>VLOOKUP(ужин4,таб,24,FALSE)</f>
        <v>0</v>
      </c>
      <c r="AD69" s="35">
        <f>VLOOKUP(ужин5,таб,24,FALSE)</f>
        <v>0</v>
      </c>
      <c r="AE69" s="34">
        <f>VLOOKUP(ужин6,таб,24,FALSE)</f>
        <v>0</v>
      </c>
      <c r="AF69" s="35">
        <f>VLOOKUP(ужин7,таб,24,FALSE)</f>
        <v>0</v>
      </c>
      <c r="AG69" s="94">
        <f>VLOOKUP(ужин8,таб,24,FALSE)</f>
        <v>0</v>
      </c>
      <c r="AH69" s="152">
        <v>613029</v>
      </c>
      <c r="AI69" s="161">
        <f>AK69/сред</f>
        <v>0.048</v>
      </c>
      <c r="AJ69" s="162"/>
      <c r="AK69" s="154">
        <f>SUM(G70:AG70)</f>
        <v>0.768</v>
      </c>
      <c r="AL69" s="154"/>
      <c r="AM69" s="213">
        <f>IF(AK69=0,0,BN117)</f>
        <v>19.7</v>
      </c>
      <c r="AN69" s="155">
        <f>AK69*AM69</f>
        <v>15.1296</v>
      </c>
      <c r="AP69">
        <v>68</v>
      </c>
      <c r="AQ69" s="62" t="s">
        <v>120</v>
      </c>
      <c r="AR69" s="61"/>
      <c r="AS69" s="61"/>
      <c r="AT69" s="61"/>
      <c r="AU69" s="61"/>
      <c r="AV69" s="61"/>
      <c r="AW69" s="61"/>
      <c r="AX69" s="61"/>
      <c r="AY69" s="61"/>
      <c r="AZ69" s="61">
        <v>2</v>
      </c>
      <c r="BA69" s="61"/>
      <c r="BB69" s="61"/>
      <c r="BC69" s="61">
        <v>3</v>
      </c>
      <c r="BD69" s="61">
        <v>14</v>
      </c>
      <c r="BE69" s="61"/>
      <c r="BF69" s="61"/>
      <c r="BG69" s="61"/>
      <c r="BH69" s="61"/>
      <c r="BI69" s="61"/>
      <c r="BJ69" s="61">
        <v>0.1</v>
      </c>
      <c r="BK69" s="61"/>
      <c r="BL69" s="61">
        <v>38</v>
      </c>
      <c r="BM69" s="61"/>
      <c r="BN69" s="61"/>
      <c r="BO69" s="61"/>
      <c r="BP69" s="61"/>
      <c r="BQ69" s="61"/>
      <c r="BR69" s="61"/>
      <c r="BS69" s="61"/>
      <c r="BT69" s="61"/>
      <c r="BU69" s="61"/>
      <c r="BV69" s="61"/>
      <c r="BW69" s="61">
        <v>16</v>
      </c>
      <c r="BX69" s="61"/>
      <c r="BY69" s="61"/>
      <c r="BZ69" s="61"/>
      <c r="CA69" s="61"/>
      <c r="CB69" s="61"/>
      <c r="CC69" s="61"/>
      <c r="CD69" s="61"/>
      <c r="CE69" s="61"/>
      <c r="CF69" s="61">
        <v>38</v>
      </c>
      <c r="CG69" s="61"/>
      <c r="CH69" s="61"/>
      <c r="CI69" s="61"/>
      <c r="CJ69" s="61"/>
      <c r="CK69" s="61"/>
      <c r="CL69" s="61"/>
      <c r="CM69" s="61"/>
      <c r="CN69" s="61"/>
      <c r="CO69" s="61"/>
      <c r="CP69" s="61"/>
      <c r="CQ69" s="61"/>
      <c r="CR69" s="61"/>
      <c r="CS69" s="61"/>
      <c r="CT69" s="61"/>
      <c r="CU69" s="61"/>
      <c r="CV69" s="61"/>
      <c r="CW69" s="61"/>
      <c r="CX69" s="61"/>
      <c r="CY69" s="61"/>
      <c r="CZ69" s="61">
        <v>1</v>
      </c>
      <c r="DA69" s="61"/>
      <c r="DB69" s="61"/>
      <c r="DC69" s="61"/>
      <c r="DD69" s="61"/>
      <c r="DE69" s="61">
        <v>75</v>
      </c>
      <c r="DF69" s="61"/>
      <c r="DG69" s="61"/>
      <c r="DH69" s="61"/>
      <c r="DI69" s="61"/>
      <c r="DJ69" s="61"/>
      <c r="DK69" s="61"/>
      <c r="DL69" s="61"/>
      <c r="DM69" s="61"/>
      <c r="DN69" s="61"/>
      <c r="DO69" s="61"/>
      <c r="DP69" s="61"/>
      <c r="DQ69" s="61"/>
      <c r="DR69" s="61"/>
      <c r="DS69" s="61"/>
      <c r="DT69" s="61"/>
      <c r="DU69" s="61"/>
      <c r="DV69" s="61"/>
      <c r="DW69" s="61"/>
      <c r="DX69" s="61"/>
      <c r="DY69" s="61"/>
    </row>
    <row r="70" spans="1:129" ht="31.5" customHeight="1">
      <c r="A70" s="167"/>
      <c r="B70" s="167"/>
      <c r="C70" s="167"/>
      <c r="D70" s="167"/>
      <c r="E70" s="168"/>
      <c r="F70" s="66" t="s">
        <v>199</v>
      </c>
      <c r="G70" s="79">
        <f aca="true" t="shared" si="68" ref="G70:N70">IF(G69=0,"",завтракл*G69/1000)</f>
      </c>
      <c r="H70" s="47">
        <f t="shared" si="68"/>
      </c>
      <c r="I70" s="46">
        <f t="shared" si="68"/>
      </c>
      <c r="J70" s="47">
        <f t="shared" si="68"/>
      </c>
      <c r="K70" s="46">
        <f t="shared" si="68"/>
      </c>
      <c r="L70" s="46">
        <f t="shared" si="68"/>
      </c>
      <c r="M70" s="46">
        <f t="shared" si="68"/>
      </c>
      <c r="N70" s="89">
        <f t="shared" si="68"/>
      </c>
      <c r="O70" s="48">
        <f aca="true" t="shared" si="69" ref="O70:T70">IF(O69=0,"",обідл*O69/1000)</f>
      </c>
      <c r="P70" s="46">
        <f t="shared" si="69"/>
      </c>
      <c r="Q70" s="47">
        <f t="shared" si="69"/>
      </c>
      <c r="R70" s="46">
        <f t="shared" si="69"/>
      </c>
      <c r="S70" s="47">
        <f t="shared" si="69"/>
      </c>
      <c r="T70" s="46">
        <f t="shared" si="69"/>
      </c>
      <c r="U70" s="47">
        <f>IF(U69=0,"",обідл*U69/1000)</f>
      </c>
      <c r="V70" s="46">
        <f>IF(V69=0,"",обідл*V69/1000)</f>
      </c>
      <c r="W70" s="46">
        <f>IF(W69=0,"",полдникл*W69/1000)</f>
      </c>
      <c r="X70" s="46">
        <f>IF(X69=0,"",полдникл*X69/1000)</f>
      </c>
      <c r="Y70" s="89">
        <f>IF(Y69=0,"",полдникл*Y69/1000)</f>
      </c>
      <c r="Z70" s="48">
        <f aca="true" t="shared" si="70" ref="Z70:AG70">IF(Z69=0,"",ужинл*Z69/1000)</f>
        <v>0.768</v>
      </c>
      <c r="AA70" s="47">
        <f t="shared" si="70"/>
      </c>
      <c r="AB70" s="46">
        <f t="shared" si="70"/>
      </c>
      <c r="AC70" s="47">
        <f t="shared" si="70"/>
      </c>
      <c r="AD70" s="46">
        <f t="shared" si="70"/>
      </c>
      <c r="AE70" s="47">
        <f t="shared" si="70"/>
      </c>
      <c r="AF70" s="46">
        <f t="shared" si="70"/>
      </c>
      <c r="AG70" s="89">
        <f t="shared" si="70"/>
      </c>
      <c r="AH70" s="153"/>
      <c r="AI70" s="161"/>
      <c r="AJ70" s="162"/>
      <c r="AK70" s="154"/>
      <c r="AL70" s="154"/>
      <c r="AM70" s="214"/>
      <c r="AN70" s="156"/>
      <c r="AP70">
        <v>69</v>
      </c>
      <c r="AQ70" s="62" t="s">
        <v>121</v>
      </c>
      <c r="AR70" s="61"/>
      <c r="AS70" s="61"/>
      <c r="AT70" s="61"/>
      <c r="AU70" s="61"/>
      <c r="AV70" s="61"/>
      <c r="AW70" s="61"/>
      <c r="AX70" s="61"/>
      <c r="AY70" s="61"/>
      <c r="AZ70" s="61">
        <v>5</v>
      </c>
      <c r="BA70" s="61"/>
      <c r="BB70" s="61"/>
      <c r="BC70" s="61"/>
      <c r="BD70" s="61">
        <v>137</v>
      </c>
      <c r="BE70" s="61"/>
      <c r="BF70" s="61"/>
      <c r="BG70" s="61"/>
      <c r="BH70" s="61"/>
      <c r="BI70" s="61"/>
      <c r="BJ70" s="61"/>
      <c r="BK70" s="61"/>
      <c r="BL70" s="61"/>
      <c r="BM70" s="61"/>
      <c r="BN70" s="61">
        <v>39</v>
      </c>
      <c r="BO70" s="61"/>
      <c r="BP70" s="61"/>
      <c r="BQ70" s="61"/>
      <c r="BR70" s="61"/>
      <c r="BS70" s="61"/>
      <c r="BT70" s="61"/>
      <c r="BU70" s="61"/>
      <c r="BV70" s="61"/>
      <c r="BW70" s="61">
        <v>10</v>
      </c>
      <c r="BX70" s="61"/>
      <c r="BY70" s="61"/>
      <c r="BZ70" s="61"/>
      <c r="CA70" s="61"/>
      <c r="CB70" s="61"/>
      <c r="CC70" s="61"/>
      <c r="CD70" s="61"/>
      <c r="CE70" s="61"/>
      <c r="CF70" s="61"/>
      <c r="CG70" s="61"/>
      <c r="CH70" s="61"/>
      <c r="CI70" s="61"/>
      <c r="CJ70" s="61"/>
      <c r="CK70" s="61"/>
      <c r="CL70" s="61"/>
      <c r="CM70" s="61"/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1"/>
      <c r="DD70" s="61"/>
      <c r="DE70" s="61">
        <v>200</v>
      </c>
      <c r="DF70" s="61"/>
      <c r="DG70" s="61"/>
      <c r="DH70" s="61"/>
      <c r="DI70" s="61"/>
      <c r="DJ70" s="61"/>
      <c r="DK70" s="61"/>
      <c r="DL70" s="61"/>
      <c r="DM70" s="61"/>
      <c r="DN70" s="61"/>
      <c r="DO70" s="61"/>
      <c r="DP70" s="61"/>
      <c r="DQ70" s="61"/>
      <c r="DR70" s="61"/>
      <c r="DS70" s="61"/>
      <c r="DT70" s="61"/>
      <c r="DU70" s="61"/>
      <c r="DV70" s="61"/>
      <c r="DW70" s="61"/>
      <c r="DX70" s="61"/>
      <c r="DY70" s="61"/>
    </row>
    <row r="71" spans="1:129" ht="31.5" customHeight="1">
      <c r="A71" s="191" t="s">
        <v>31</v>
      </c>
      <c r="B71" s="191"/>
      <c r="C71" s="191"/>
      <c r="D71" s="191"/>
      <c r="E71" s="192"/>
      <c r="F71" s="71" t="s">
        <v>198</v>
      </c>
      <c r="G71" s="80">
        <v>25</v>
      </c>
      <c r="H71" s="37">
        <f>VLOOKUP(завтрак2,таб,25,FALSE)</f>
        <v>0</v>
      </c>
      <c r="I71" s="38">
        <f>VLOOKUP(завтрак3,таб,25,FALSE)</f>
        <v>0</v>
      </c>
      <c r="J71" s="37">
        <f>VLOOKUP(завтрак4,таб,25,FALSE)</f>
        <v>0</v>
      </c>
      <c r="K71" s="38">
        <f>VLOOKUP(завтрак5,таб,25,FALSE)</f>
        <v>0</v>
      </c>
      <c r="L71" s="38">
        <f>VLOOKUP(завтрак6,таб,25,FALSE)</f>
        <v>0</v>
      </c>
      <c r="M71" s="28">
        <f>VLOOKUP(завтрак7,таб,25,FALSE)</f>
        <v>0</v>
      </c>
      <c r="N71" s="88">
        <f>VLOOKUP(завтрак8,таб,25,FALSE)</f>
        <v>0</v>
      </c>
      <c r="O71" s="39">
        <f>VLOOKUP(обед1,таб,25,FALSE)</f>
        <v>0</v>
      </c>
      <c r="P71" s="38">
        <f>VLOOKUP(обед2,таб,25,FALSE)</f>
        <v>0</v>
      </c>
      <c r="Q71" s="37">
        <f>VLOOKUP(обед3,таб,25,FALSE)</f>
        <v>0</v>
      </c>
      <c r="R71" s="38">
        <f>VLOOKUP(обед4,таб,25,FALSE)</f>
        <v>0</v>
      </c>
      <c r="S71" s="37">
        <f>VLOOKUP(обед5,таб,25,FALSE)</f>
        <v>0</v>
      </c>
      <c r="T71" s="38">
        <f>VLOOKUP(обед6,таб,25,FALSE)</f>
        <v>0</v>
      </c>
      <c r="U71" s="37">
        <f>VLOOKUP(обед7,таб,25,FALSE)</f>
        <v>0</v>
      </c>
      <c r="V71" s="38">
        <f>VLOOKUP(обед8,таб,25,FALSE)</f>
        <v>0</v>
      </c>
      <c r="W71" s="38">
        <f>VLOOKUP(полдник1,таб,25,FALSE)</f>
        <v>0</v>
      </c>
      <c r="X71" s="38">
        <f>VLOOKUP(полдник2,таб,25,FALSE)</f>
        <v>0</v>
      </c>
      <c r="Y71" s="95">
        <f>VLOOKUP(полдник3,таб,25,FALSE)</f>
        <v>0</v>
      </c>
      <c r="Z71" s="39">
        <f>VLOOKUP(ужин1,таб,25,FALSE)</f>
        <v>0</v>
      </c>
      <c r="AA71" s="37">
        <f>VLOOKUP(ужин2,таб,25,FALSE)</f>
        <v>0</v>
      </c>
      <c r="AB71" s="38">
        <f>VLOOKUP(ужин3,таб,25,FALSE)</f>
        <v>0</v>
      </c>
      <c r="AC71" s="37">
        <f>VLOOKUP(ужин4,таб,25,FALSE)</f>
        <v>0</v>
      </c>
      <c r="AD71" s="38">
        <f>VLOOKUP(ужин5,таб,25,FALSE)</f>
        <v>0</v>
      </c>
      <c r="AE71" s="37">
        <f>VLOOKUP(ужин6,таб,25,FALSE)</f>
        <v>0</v>
      </c>
      <c r="AF71" s="38">
        <f>VLOOKUP(ужин7,таб,25,FALSE)</f>
        <v>0</v>
      </c>
      <c r="AG71" s="95">
        <f>VLOOKUP(ужин8,таб,25,FALSE)</f>
        <v>0</v>
      </c>
      <c r="AH71" s="152">
        <v>613036</v>
      </c>
      <c r="AI71" s="161">
        <f>AK71/сред</f>
        <v>0.025</v>
      </c>
      <c r="AJ71" s="162"/>
      <c r="AK71" s="154">
        <f>SUM(G72:AG72)</f>
        <v>0.4</v>
      </c>
      <c r="AL71" s="154"/>
      <c r="AM71" s="213">
        <f>IF(AK71=0,0,BO117)</f>
        <v>14.2</v>
      </c>
      <c r="AN71" s="155">
        <f>AK71*AM71</f>
        <v>5.68</v>
      </c>
      <c r="AP71">
        <v>70</v>
      </c>
      <c r="AQ71" s="62" t="s">
        <v>98</v>
      </c>
      <c r="AR71" s="61"/>
      <c r="AS71" s="61"/>
      <c r="AT71" s="61"/>
      <c r="AU71" s="61"/>
      <c r="AV71" s="61"/>
      <c r="AW71" s="61"/>
      <c r="AX71" s="61"/>
      <c r="AY71" s="61"/>
      <c r="AZ71" s="61">
        <v>10</v>
      </c>
      <c r="BA71" s="61"/>
      <c r="BB71" s="61"/>
      <c r="BC71" s="61"/>
      <c r="BD71" s="61">
        <v>400</v>
      </c>
      <c r="BE71" s="61"/>
      <c r="BF71" s="61"/>
      <c r="BG71" s="61"/>
      <c r="BH71" s="61"/>
      <c r="BI71" s="61"/>
      <c r="BJ71" s="61"/>
      <c r="BK71" s="61"/>
      <c r="BL71" s="61"/>
      <c r="BM71" s="61"/>
      <c r="BN71" s="61"/>
      <c r="BO71" s="61"/>
      <c r="BP71" s="61"/>
      <c r="BQ71" s="61"/>
      <c r="BR71" s="61"/>
      <c r="BS71" s="61">
        <v>25</v>
      </c>
      <c r="BT71" s="61"/>
      <c r="BU71" s="61"/>
      <c r="BV71" s="61"/>
      <c r="BW71" s="61">
        <v>10</v>
      </c>
      <c r="BX71" s="61"/>
      <c r="BY71" s="61"/>
      <c r="BZ71" s="61"/>
      <c r="CA71" s="61"/>
      <c r="CB71" s="61"/>
      <c r="CC71" s="61"/>
      <c r="CD71" s="61"/>
      <c r="CE71" s="61"/>
      <c r="CF71" s="61"/>
      <c r="CG71" s="61"/>
      <c r="CH71" s="61"/>
      <c r="CI71" s="61"/>
      <c r="CJ71" s="61"/>
      <c r="CK71" s="61"/>
      <c r="CL71" s="61"/>
      <c r="CM71" s="61"/>
      <c r="CN71" s="61"/>
      <c r="CO71" s="61"/>
      <c r="CP71" s="61"/>
      <c r="CQ71" s="61"/>
      <c r="CR71" s="61"/>
      <c r="CS71" s="61"/>
      <c r="CT71" s="61"/>
      <c r="CU71" s="61"/>
      <c r="CV71" s="61"/>
      <c r="CW71" s="61"/>
      <c r="CX71" s="61"/>
      <c r="CY71" s="61"/>
      <c r="CZ71" s="61"/>
      <c r="DA71" s="61"/>
      <c r="DB71" s="61"/>
      <c r="DC71" s="61"/>
      <c r="DD71" s="61"/>
      <c r="DE71" s="61">
        <v>400</v>
      </c>
      <c r="DF71" s="61"/>
      <c r="DG71" s="61"/>
      <c r="DH71" s="61"/>
      <c r="DI71" s="61"/>
      <c r="DJ71" s="61"/>
      <c r="DK71" s="61"/>
      <c r="DL71" s="61"/>
      <c r="DM71" s="61"/>
      <c r="DN71" s="61"/>
      <c r="DO71" s="61"/>
      <c r="DP71" s="61"/>
      <c r="DQ71" s="61"/>
      <c r="DR71" s="61"/>
      <c r="DS71" s="61"/>
      <c r="DT71" s="61"/>
      <c r="DU71" s="61"/>
      <c r="DV71" s="61"/>
      <c r="DW71" s="61"/>
      <c r="DX71" s="61"/>
      <c r="DY71" s="61"/>
    </row>
    <row r="72" spans="1:129" ht="31.5" customHeight="1">
      <c r="A72" s="195"/>
      <c r="B72" s="195"/>
      <c r="C72" s="195"/>
      <c r="D72" s="195"/>
      <c r="E72" s="196"/>
      <c r="F72" s="66" t="s">
        <v>199</v>
      </c>
      <c r="G72" s="81">
        <f aca="true" t="shared" si="71" ref="G72:N72">IF(G71=0,"",завтракл*G71/1000)</f>
        <v>0.4</v>
      </c>
      <c r="H72" s="49">
        <f t="shared" si="71"/>
      </c>
      <c r="I72" s="45">
        <f t="shared" si="71"/>
      </c>
      <c r="J72" s="49">
        <f t="shared" si="71"/>
      </c>
      <c r="K72" s="45">
        <f t="shared" si="71"/>
      </c>
      <c r="L72" s="45">
        <f t="shared" si="71"/>
      </c>
      <c r="M72" s="46">
        <f t="shared" si="71"/>
      </c>
      <c r="N72" s="89">
        <f t="shared" si="71"/>
      </c>
      <c r="O72" s="50">
        <f aca="true" t="shared" si="72" ref="O72:T72">IF(O71=0,"",обідл*O71/1000)</f>
      </c>
      <c r="P72" s="45">
        <f t="shared" si="72"/>
      </c>
      <c r="Q72" s="49">
        <f t="shared" si="72"/>
      </c>
      <c r="R72" s="45">
        <f t="shared" si="72"/>
      </c>
      <c r="S72" s="49">
        <f t="shared" si="72"/>
      </c>
      <c r="T72" s="45">
        <f t="shared" si="72"/>
      </c>
      <c r="U72" s="49">
        <f>IF(U71=0,"",обідл*U71/1000)</f>
      </c>
      <c r="V72" s="45">
        <f>IF(V71=0,"",обідл*V71/1000)</f>
      </c>
      <c r="W72" s="45">
        <f>IF(W71=0,"",полдникл*W71/1000)</f>
      </c>
      <c r="X72" s="45">
        <f>IF(X71=0,"",полдникл*X71/1000)</f>
      </c>
      <c r="Y72" s="92">
        <f>IF(Y71=0,"",полдникл*Y71/1000)</f>
      </c>
      <c r="Z72" s="50">
        <f aca="true" t="shared" si="73" ref="Z72:AG72">IF(Z71=0,"",ужинл*Z71/1000)</f>
      </c>
      <c r="AA72" s="49">
        <f t="shared" si="73"/>
      </c>
      <c r="AB72" s="45">
        <f t="shared" si="73"/>
      </c>
      <c r="AC72" s="49">
        <f t="shared" si="73"/>
      </c>
      <c r="AD72" s="45">
        <f t="shared" si="73"/>
      </c>
      <c r="AE72" s="49">
        <f t="shared" si="73"/>
      </c>
      <c r="AF72" s="45">
        <f t="shared" si="73"/>
      </c>
      <c r="AG72" s="92">
        <f t="shared" si="73"/>
      </c>
      <c r="AH72" s="153"/>
      <c r="AI72" s="161"/>
      <c r="AJ72" s="162"/>
      <c r="AK72" s="154"/>
      <c r="AL72" s="154"/>
      <c r="AM72" s="214"/>
      <c r="AN72" s="156"/>
      <c r="AP72">
        <v>71</v>
      </c>
      <c r="AQ72" s="62" t="s">
        <v>122</v>
      </c>
      <c r="AR72" s="61"/>
      <c r="AS72" s="61"/>
      <c r="AT72" s="61"/>
      <c r="AU72" s="61"/>
      <c r="AV72" s="61"/>
      <c r="AW72" s="61"/>
      <c r="AX72" s="61"/>
      <c r="AY72" s="61"/>
      <c r="AZ72" s="61">
        <v>5</v>
      </c>
      <c r="BA72" s="61"/>
      <c r="BB72" s="61"/>
      <c r="BC72" s="61"/>
      <c r="BD72" s="61">
        <v>145</v>
      </c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>
        <v>30</v>
      </c>
      <c r="BP72" s="61"/>
      <c r="BQ72" s="61"/>
      <c r="BR72" s="61"/>
      <c r="BS72" s="61"/>
      <c r="BT72" s="61"/>
      <c r="BU72" s="61"/>
      <c r="BV72" s="61"/>
      <c r="BW72" s="61">
        <v>5</v>
      </c>
      <c r="BX72" s="61"/>
      <c r="BY72" s="61"/>
      <c r="BZ72" s="61"/>
      <c r="CA72" s="61"/>
      <c r="CB72" s="61"/>
      <c r="CC72" s="61"/>
      <c r="CD72" s="61"/>
      <c r="CE72" s="61"/>
      <c r="CF72" s="61"/>
      <c r="CG72" s="61"/>
      <c r="CH72" s="61"/>
      <c r="CI72" s="61"/>
      <c r="CJ72" s="61"/>
      <c r="CK72" s="61"/>
      <c r="CL72" s="61"/>
      <c r="CM72" s="61"/>
      <c r="CN72" s="61"/>
      <c r="CO72" s="61"/>
      <c r="CP72" s="61"/>
      <c r="CQ72" s="61"/>
      <c r="CR72" s="61"/>
      <c r="CS72" s="61"/>
      <c r="CT72" s="61"/>
      <c r="CU72" s="61"/>
      <c r="CV72" s="61"/>
      <c r="CW72" s="61"/>
      <c r="CX72" s="61"/>
      <c r="CY72" s="61"/>
      <c r="CZ72" s="61"/>
      <c r="DA72" s="61"/>
      <c r="DB72" s="61"/>
      <c r="DC72" s="61"/>
      <c r="DD72" s="61"/>
      <c r="DE72" s="61">
        <v>200</v>
      </c>
      <c r="DF72" s="61"/>
      <c r="DG72" s="61"/>
      <c r="DH72" s="61"/>
      <c r="DI72" s="61"/>
      <c r="DJ72" s="61"/>
      <c r="DK72" s="61"/>
      <c r="DL72" s="61"/>
      <c r="DM72" s="61"/>
      <c r="DN72" s="61"/>
      <c r="DO72" s="61"/>
      <c r="DP72" s="61"/>
      <c r="DQ72" s="61"/>
      <c r="DR72" s="61"/>
      <c r="DS72" s="61"/>
      <c r="DT72" s="61"/>
      <c r="DU72" s="61"/>
      <c r="DV72" s="61"/>
      <c r="DW72" s="61"/>
      <c r="DX72" s="61"/>
      <c r="DY72" s="61"/>
    </row>
    <row r="73" spans="1:129" ht="31.5" customHeight="1">
      <c r="A73" s="167" t="s">
        <v>35</v>
      </c>
      <c r="B73" s="167"/>
      <c r="C73" s="167"/>
      <c r="D73" s="167"/>
      <c r="E73" s="168"/>
      <c r="F73" s="71" t="s">
        <v>198</v>
      </c>
      <c r="G73" s="78">
        <f>VLOOKUP(завтрак1,таб,26,FALSE)</f>
        <v>0</v>
      </c>
      <c r="H73" s="34">
        <f>VLOOKUP(завтрак2,таб,26,FALSE)</f>
        <v>0</v>
      </c>
      <c r="I73" s="35">
        <f>VLOOKUP(завтрак3,таб,26,FALSE)</f>
        <v>0</v>
      </c>
      <c r="J73" s="34">
        <f>VLOOKUP(завтрак4,таб,26,FALSE)</f>
        <v>0</v>
      </c>
      <c r="K73" s="35">
        <f>VLOOKUP(завтрак5,таб,26,FALSE)</f>
        <v>0</v>
      </c>
      <c r="L73" s="35">
        <f>VLOOKUP(завтрак6,таб,26,FALSE)</f>
        <v>0</v>
      </c>
      <c r="M73" s="28">
        <f>VLOOKUP(завтрак7,таб,26,FALSE)</f>
        <v>0</v>
      </c>
      <c r="N73" s="88">
        <f>VLOOKUP(завтрак8,таб,26,FALSE)</f>
        <v>0</v>
      </c>
      <c r="O73" s="36">
        <f>VLOOKUP(обед1,таб,26,FALSE)</f>
        <v>0</v>
      </c>
      <c r="P73" s="35">
        <f>VLOOKUP(обед2,таб,26,FALSE)</f>
        <v>0</v>
      </c>
      <c r="Q73" s="34">
        <f>VLOOKUP(обед3,таб,26,FALSE)</f>
        <v>0</v>
      </c>
      <c r="R73" s="35">
        <f>VLOOKUP(обед4,таб,26,FALSE)</f>
        <v>0</v>
      </c>
      <c r="S73" s="34">
        <f>VLOOKUP(обед5,таб,26,FALSE)</f>
        <v>0</v>
      </c>
      <c r="T73" s="35">
        <f>VLOOKUP(обед6,таб,26,FALSE)</f>
        <v>0</v>
      </c>
      <c r="U73" s="34">
        <f>VLOOKUP(обед7,таб,26,FALSE)</f>
        <v>0</v>
      </c>
      <c r="V73" s="35">
        <f>VLOOKUP(обед8,таб,26,FALSE)</f>
        <v>0</v>
      </c>
      <c r="W73" s="35">
        <f>VLOOKUP(полдник1,таб,26,FALSE)</f>
        <v>0</v>
      </c>
      <c r="X73" s="35">
        <f>VLOOKUP(полдник2,таб,26,FALSE)</f>
        <v>0</v>
      </c>
      <c r="Y73" s="94">
        <f>VLOOKUP(полдник3,таб,26,FALSE)</f>
        <v>0</v>
      </c>
      <c r="Z73" s="36">
        <f>VLOOKUP(ужин1,таб,26,FALSE)</f>
        <v>0</v>
      </c>
      <c r="AA73" s="34">
        <f>VLOOKUP(ужин2,таб,26,FALSE)</f>
        <v>0</v>
      </c>
      <c r="AB73" s="35">
        <f>VLOOKUP(ужин3,таб,26,FALSE)</f>
        <v>0</v>
      </c>
      <c r="AC73" s="34">
        <f>VLOOKUP(ужин4,таб,26,FALSE)</f>
        <v>0</v>
      </c>
      <c r="AD73" s="35">
        <f>VLOOKUP(ужин5,таб,26,FALSE)</f>
        <v>0</v>
      </c>
      <c r="AE73" s="34">
        <f>VLOOKUP(ужин6,таб,26,FALSE)</f>
        <v>0</v>
      </c>
      <c r="AF73" s="35">
        <f>VLOOKUP(ужин7,таб,26,FALSE)</f>
        <v>0</v>
      </c>
      <c r="AG73" s="94">
        <f>VLOOKUP(ужин8,таб,26,FALSE)</f>
        <v>0</v>
      </c>
      <c r="AH73" s="152"/>
      <c r="AI73" s="161">
        <f>AK73/сред</f>
        <v>0</v>
      </c>
      <c r="AJ73" s="162"/>
      <c r="AK73" s="154">
        <f>SUM(G74:AG74)</f>
        <v>0</v>
      </c>
      <c r="AL73" s="154"/>
      <c r="AM73" s="213">
        <f>IF(AK73=0,0,BP117)</f>
        <v>0</v>
      </c>
      <c r="AN73" s="155">
        <f>AK73*AM73</f>
        <v>0</v>
      </c>
      <c r="AP73">
        <v>72</v>
      </c>
      <c r="AQ73" s="62" t="s">
        <v>124</v>
      </c>
      <c r="AR73" s="61"/>
      <c r="AS73" s="61"/>
      <c r="AT73" s="61"/>
      <c r="AU73" s="61"/>
      <c r="AV73" s="61"/>
      <c r="AW73" s="61"/>
      <c r="AX73" s="61"/>
      <c r="AY73" s="61"/>
      <c r="AZ73" s="61">
        <v>5</v>
      </c>
      <c r="BA73" s="61"/>
      <c r="BB73" s="61"/>
      <c r="BC73" s="61"/>
      <c r="BD73" s="61">
        <v>141</v>
      </c>
      <c r="BE73" s="61"/>
      <c r="BF73" s="61"/>
      <c r="BG73" s="61"/>
      <c r="BH73" s="61"/>
      <c r="BI73" s="61"/>
      <c r="BJ73" s="61"/>
      <c r="BK73" s="61"/>
      <c r="BL73" s="61"/>
      <c r="BM73" s="61"/>
      <c r="BN73" s="61"/>
      <c r="BO73" s="61"/>
      <c r="BP73" s="61"/>
      <c r="BQ73" s="61"/>
      <c r="BR73" s="61"/>
      <c r="BS73" s="61"/>
      <c r="BT73" s="61">
        <v>40</v>
      </c>
      <c r="BU73" s="61"/>
      <c r="BV73" s="61"/>
      <c r="BW73" s="61">
        <v>5</v>
      </c>
      <c r="BX73" s="61"/>
      <c r="BY73" s="61"/>
      <c r="BZ73" s="61"/>
      <c r="CA73" s="61"/>
      <c r="CB73" s="61"/>
      <c r="CC73" s="61"/>
      <c r="CD73" s="61"/>
      <c r="CE73" s="61"/>
      <c r="CF73" s="61"/>
      <c r="CG73" s="61"/>
      <c r="CH73" s="61"/>
      <c r="CI73" s="61"/>
      <c r="CJ73" s="61"/>
      <c r="CK73" s="61"/>
      <c r="CL73" s="61"/>
      <c r="CM73" s="61"/>
      <c r="CN73" s="61"/>
      <c r="CO73" s="61"/>
      <c r="CP73" s="61"/>
      <c r="CQ73" s="61"/>
      <c r="CR73" s="61"/>
      <c r="CS73" s="61"/>
      <c r="CT73" s="61"/>
      <c r="CU73" s="61"/>
      <c r="CV73" s="61"/>
      <c r="CW73" s="61"/>
      <c r="CX73" s="61"/>
      <c r="CY73" s="61"/>
      <c r="CZ73" s="61"/>
      <c r="DA73" s="61"/>
      <c r="DB73" s="61"/>
      <c r="DC73" s="61"/>
      <c r="DD73" s="61"/>
      <c r="DE73" s="61">
        <v>200</v>
      </c>
      <c r="DF73" s="61"/>
      <c r="DG73" s="61"/>
      <c r="DH73" s="61"/>
      <c r="DI73" s="61"/>
      <c r="DJ73" s="61"/>
      <c r="DK73" s="61"/>
      <c r="DL73" s="61"/>
      <c r="DM73" s="61"/>
      <c r="DN73" s="61"/>
      <c r="DO73" s="61"/>
      <c r="DP73" s="61"/>
      <c r="DQ73" s="61"/>
      <c r="DR73" s="61"/>
      <c r="DS73" s="61"/>
      <c r="DT73" s="61"/>
      <c r="DU73" s="61"/>
      <c r="DV73" s="61"/>
      <c r="DW73" s="61"/>
      <c r="DX73" s="61"/>
      <c r="DY73" s="61"/>
    </row>
    <row r="74" spans="1:129" ht="31.5" customHeight="1">
      <c r="A74" s="167"/>
      <c r="B74" s="167"/>
      <c r="C74" s="167"/>
      <c r="D74" s="167"/>
      <c r="E74" s="168"/>
      <c r="F74" s="66" t="s">
        <v>199</v>
      </c>
      <c r="G74" s="79">
        <f aca="true" t="shared" si="74" ref="G74:N74">IF(G73=0,"",завтракл*G73/1000)</f>
      </c>
      <c r="H74" s="47">
        <f t="shared" si="74"/>
      </c>
      <c r="I74" s="46">
        <f t="shared" si="74"/>
      </c>
      <c r="J74" s="47">
        <f t="shared" si="74"/>
      </c>
      <c r="K74" s="46">
        <f t="shared" si="74"/>
      </c>
      <c r="L74" s="46">
        <f t="shared" si="74"/>
      </c>
      <c r="M74" s="46">
        <f t="shared" si="74"/>
      </c>
      <c r="N74" s="89">
        <f t="shared" si="74"/>
      </c>
      <c r="O74" s="48">
        <f aca="true" t="shared" si="75" ref="O74:T74">IF(O73=0,"",обідл*O73/1000)</f>
      </c>
      <c r="P74" s="46">
        <f t="shared" si="75"/>
      </c>
      <c r="Q74" s="47">
        <f t="shared" si="75"/>
      </c>
      <c r="R74" s="46">
        <f t="shared" si="75"/>
      </c>
      <c r="S74" s="47">
        <f t="shared" si="75"/>
      </c>
      <c r="T74" s="46">
        <f t="shared" si="75"/>
      </c>
      <c r="U74" s="47">
        <f>IF(U73=0,"",обідл*U73/1000)</f>
      </c>
      <c r="V74" s="46">
        <f>IF(V73=0,"",обідл*V73/1000)</f>
      </c>
      <c r="W74" s="46">
        <f>IF(W73=0,"",полдникл*W73/1000)</f>
      </c>
      <c r="X74" s="46">
        <f>IF(X73=0,"",полдникл*X73/1000)</f>
      </c>
      <c r="Y74" s="89">
        <f>IF(Y73=0,"",полдникл*Y73/1000)</f>
      </c>
      <c r="Z74" s="48">
        <f aca="true" t="shared" si="76" ref="Z74:AG74">IF(Z73=0,"",ужинл*Z73/1000)</f>
      </c>
      <c r="AA74" s="47">
        <f t="shared" si="76"/>
      </c>
      <c r="AB74" s="46">
        <f t="shared" si="76"/>
      </c>
      <c r="AC74" s="47">
        <f t="shared" si="76"/>
      </c>
      <c r="AD74" s="46">
        <f t="shared" si="76"/>
      </c>
      <c r="AE74" s="47">
        <f t="shared" si="76"/>
      </c>
      <c r="AF74" s="46">
        <f t="shared" si="76"/>
      </c>
      <c r="AG74" s="89">
        <f t="shared" si="76"/>
      </c>
      <c r="AH74" s="153"/>
      <c r="AI74" s="161"/>
      <c r="AJ74" s="162"/>
      <c r="AK74" s="154"/>
      <c r="AL74" s="154"/>
      <c r="AM74" s="214"/>
      <c r="AN74" s="156"/>
      <c r="AP74">
        <v>73</v>
      </c>
      <c r="AQ74" s="62" t="s">
        <v>125</v>
      </c>
      <c r="AR74" s="61"/>
      <c r="AS74" s="61"/>
      <c r="AT74" s="61"/>
      <c r="AU74" s="61"/>
      <c r="AV74" s="61"/>
      <c r="AW74" s="61"/>
      <c r="AX74" s="61"/>
      <c r="AY74" s="61"/>
      <c r="AZ74" s="61">
        <v>5</v>
      </c>
      <c r="BA74" s="61"/>
      <c r="BB74" s="61"/>
      <c r="BC74" s="61"/>
      <c r="BD74" s="61">
        <v>141</v>
      </c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>
        <v>5</v>
      </c>
      <c r="BX74" s="61"/>
      <c r="BY74" s="61"/>
      <c r="BZ74" s="61"/>
      <c r="CA74" s="61"/>
      <c r="CB74" s="61"/>
      <c r="CC74" s="61"/>
      <c r="CD74" s="61"/>
      <c r="CE74" s="61"/>
      <c r="CF74" s="61"/>
      <c r="CG74" s="61"/>
      <c r="CH74" s="61"/>
      <c r="CI74" s="61"/>
      <c r="CJ74" s="61"/>
      <c r="CK74" s="61"/>
      <c r="CL74" s="61"/>
      <c r="CM74" s="61"/>
      <c r="CN74" s="61"/>
      <c r="CO74" s="61"/>
      <c r="CP74" s="61"/>
      <c r="CQ74" s="61"/>
      <c r="CR74" s="61"/>
      <c r="CS74" s="61"/>
      <c r="CT74" s="61"/>
      <c r="CU74" s="61"/>
      <c r="CV74" s="61"/>
      <c r="CW74" s="61"/>
      <c r="CX74" s="61"/>
      <c r="CY74" s="61"/>
      <c r="CZ74" s="61"/>
      <c r="DA74" s="61"/>
      <c r="DB74" s="61"/>
      <c r="DC74" s="61"/>
      <c r="DD74" s="61"/>
      <c r="DE74" s="61">
        <v>200</v>
      </c>
      <c r="DF74" s="61"/>
      <c r="DG74" s="61"/>
      <c r="DH74" s="61"/>
      <c r="DI74" s="61"/>
      <c r="DJ74" s="61">
        <v>40</v>
      </c>
      <c r="DK74" s="61"/>
      <c r="DL74" s="61"/>
      <c r="DM74" s="61"/>
      <c r="DN74" s="61"/>
      <c r="DO74" s="61"/>
      <c r="DP74" s="61"/>
      <c r="DQ74" s="61"/>
      <c r="DR74" s="61"/>
      <c r="DS74" s="61"/>
      <c r="DT74" s="61"/>
      <c r="DU74" s="61"/>
      <c r="DV74" s="61"/>
      <c r="DW74" s="61"/>
      <c r="DX74" s="61"/>
      <c r="DY74" s="61"/>
    </row>
    <row r="75" spans="1:129" ht="31.5" customHeight="1">
      <c r="A75" s="167" t="s">
        <v>151</v>
      </c>
      <c r="B75" s="167"/>
      <c r="C75" s="167"/>
      <c r="D75" s="167"/>
      <c r="E75" s="168"/>
      <c r="F75" s="71" t="s">
        <v>198</v>
      </c>
      <c r="G75" s="78">
        <f>VLOOKUP(завтрак1,таб,73,FALSE)</f>
        <v>0</v>
      </c>
      <c r="H75" s="34">
        <f>VLOOKUP(завтрак2,таб,73,FALSE)</f>
        <v>0</v>
      </c>
      <c r="I75" s="35">
        <f>VLOOKUP(завтрак3,таб,73,FALSE)</f>
        <v>0</v>
      </c>
      <c r="J75" s="34">
        <f>VLOOKUP(завтрак4,таб,73,FALSE)</f>
        <v>0</v>
      </c>
      <c r="K75" s="35">
        <f>VLOOKUP(завтрак5,таб,73,FALSE)</f>
        <v>0</v>
      </c>
      <c r="L75" s="35">
        <f>VLOOKUP(завтрак6,таб,73,FALSE)</f>
        <v>0</v>
      </c>
      <c r="M75" s="28">
        <f>VLOOKUP(завтрак7,таб,73,FALSE)</f>
        <v>0</v>
      </c>
      <c r="N75" s="88">
        <f>VLOOKUP(завтрак8,таб,73,FALSE)</f>
        <v>0</v>
      </c>
      <c r="O75" s="36">
        <f>VLOOKUP(обед1,таб,73,FALSE)</f>
        <v>0</v>
      </c>
      <c r="P75" s="35">
        <f>VLOOKUP(обед2,таб,73,FALSE)</f>
        <v>0</v>
      </c>
      <c r="Q75" s="34">
        <f>VLOOKUP(обед3,таб,73,FALSE)</f>
        <v>0</v>
      </c>
      <c r="R75" s="35">
        <f>VLOOKUP(обед4,таб,73,FALSE)</f>
        <v>0</v>
      </c>
      <c r="S75" s="34">
        <f>VLOOKUP(обед5,таб,73,FALSE)</f>
        <v>0</v>
      </c>
      <c r="T75" s="35">
        <f>VLOOKUP(обед6,таб,73,FALSE)</f>
        <v>0</v>
      </c>
      <c r="U75" s="34">
        <f>VLOOKUP(обед7,таб,73,FALSE)</f>
        <v>0</v>
      </c>
      <c r="V75" s="35">
        <f>VLOOKUP(обед8,таб,73,FALSE)</f>
        <v>0</v>
      </c>
      <c r="W75" s="35">
        <f>VLOOKUP(полдник1,таб,73,FALSE)</f>
        <v>0</v>
      </c>
      <c r="X75" s="35">
        <f>VLOOKUP(полдник2,таб,73,FALSE)</f>
        <v>0</v>
      </c>
      <c r="Y75" s="94">
        <f>VLOOKUP(полдник3,таб,73,FALSE)</f>
        <v>0</v>
      </c>
      <c r="Z75" s="36">
        <f>VLOOKUP(ужин1,таб,73,FALSE)</f>
        <v>0</v>
      </c>
      <c r="AA75" s="34">
        <f>VLOOKUP(ужин2,таб,73,FALSE)</f>
        <v>0</v>
      </c>
      <c r="AB75" s="35">
        <f>VLOOKUP(ужин3,таб,73,FALSE)</f>
        <v>0</v>
      </c>
      <c r="AC75" s="34">
        <f>VLOOKUP(ужин4,таб,73,FALSE)</f>
        <v>0</v>
      </c>
      <c r="AD75" s="35">
        <f>VLOOKUP(ужин5,таб,73,FALSE)</f>
        <v>0</v>
      </c>
      <c r="AE75" s="34">
        <f>VLOOKUP(ужин6,таб,73,FALSE)</f>
        <v>0</v>
      </c>
      <c r="AF75" s="35">
        <f>VLOOKUP(ужин7,таб,73,FALSE)</f>
        <v>0</v>
      </c>
      <c r="AG75" s="94">
        <f>VLOOKUP(ужин8,таб,73,FALSE)</f>
        <v>0</v>
      </c>
      <c r="AH75" s="152"/>
      <c r="AI75" s="161">
        <f>AK75/сред</f>
        <v>0</v>
      </c>
      <c r="AJ75" s="162"/>
      <c r="AK75" s="154">
        <f>SUM(G76:AG76)</f>
        <v>0</v>
      </c>
      <c r="AL75" s="154"/>
      <c r="AM75" s="213">
        <f>IF(AK75=0,0,DK117)</f>
        <v>0</v>
      </c>
      <c r="AN75" s="155">
        <f>AK75*AM75</f>
        <v>0</v>
      </c>
      <c r="AP75">
        <v>74</v>
      </c>
      <c r="AQ75" s="62" t="s">
        <v>126</v>
      </c>
      <c r="AR75" s="61"/>
      <c r="AS75" s="61"/>
      <c r="AT75" s="61"/>
      <c r="AU75" s="61"/>
      <c r="AV75" s="61"/>
      <c r="AW75" s="61"/>
      <c r="AX75" s="61"/>
      <c r="AY75" s="61"/>
      <c r="AZ75" s="61">
        <v>5</v>
      </c>
      <c r="BA75" s="61"/>
      <c r="BB75" s="61"/>
      <c r="BC75" s="61"/>
      <c r="BD75" s="61">
        <v>141</v>
      </c>
      <c r="BE75" s="61"/>
      <c r="BF75" s="61"/>
      <c r="BG75" s="61"/>
      <c r="BH75" s="61"/>
      <c r="BI75" s="61"/>
      <c r="BJ75" s="61"/>
      <c r="BK75" s="61"/>
      <c r="BL75" s="61"/>
      <c r="BM75" s="61"/>
      <c r="BN75" s="61"/>
      <c r="BO75" s="61"/>
      <c r="BP75" s="61"/>
      <c r="BQ75" s="61"/>
      <c r="BR75" s="61"/>
      <c r="BS75" s="61"/>
      <c r="BT75" s="61"/>
      <c r="BU75" s="61"/>
      <c r="BV75" s="61"/>
      <c r="BW75" s="61">
        <v>5</v>
      </c>
      <c r="BX75" s="61"/>
      <c r="BY75" s="61"/>
      <c r="BZ75" s="61"/>
      <c r="CA75" s="61"/>
      <c r="CB75" s="61"/>
      <c r="CC75" s="61"/>
      <c r="CD75" s="61"/>
      <c r="CE75" s="61"/>
      <c r="CF75" s="61"/>
      <c r="CG75" s="61"/>
      <c r="CH75" s="61"/>
      <c r="CI75" s="61"/>
      <c r="CJ75" s="61"/>
      <c r="CK75" s="61"/>
      <c r="CL75" s="61"/>
      <c r="CM75" s="61"/>
      <c r="CN75" s="61"/>
      <c r="CO75" s="61"/>
      <c r="CP75" s="61"/>
      <c r="CQ75" s="61"/>
      <c r="CR75" s="61"/>
      <c r="CS75" s="61"/>
      <c r="CT75" s="61"/>
      <c r="CU75" s="61"/>
      <c r="CV75" s="61"/>
      <c r="CW75" s="61"/>
      <c r="CX75" s="61"/>
      <c r="CY75" s="61"/>
      <c r="CZ75" s="61"/>
      <c r="DA75" s="61"/>
      <c r="DB75" s="61"/>
      <c r="DC75" s="61"/>
      <c r="DD75" s="61"/>
      <c r="DE75" s="61">
        <v>200</v>
      </c>
      <c r="DF75" s="61"/>
      <c r="DG75" s="61"/>
      <c r="DH75" s="61"/>
      <c r="DI75" s="61"/>
      <c r="DJ75" s="61"/>
      <c r="DK75" s="61">
        <v>40</v>
      </c>
      <c r="DL75" s="61"/>
      <c r="DM75" s="61"/>
      <c r="DN75" s="61"/>
      <c r="DO75" s="61"/>
      <c r="DP75" s="61"/>
      <c r="DQ75" s="61"/>
      <c r="DR75" s="61"/>
      <c r="DS75" s="61"/>
      <c r="DT75" s="61"/>
      <c r="DU75" s="61"/>
      <c r="DV75" s="61"/>
      <c r="DW75" s="61"/>
      <c r="DX75" s="61"/>
      <c r="DY75" s="61"/>
    </row>
    <row r="76" spans="1:129" ht="31.5" customHeight="1">
      <c r="A76" s="167"/>
      <c r="B76" s="167"/>
      <c r="C76" s="167"/>
      <c r="D76" s="167"/>
      <c r="E76" s="168"/>
      <c r="F76" s="66" t="s">
        <v>199</v>
      </c>
      <c r="G76" s="79">
        <f aca="true" t="shared" si="77" ref="G76:N76">IF(G75=0,"",завтракл*G75/1000)</f>
      </c>
      <c r="H76" s="47">
        <f t="shared" si="77"/>
      </c>
      <c r="I76" s="46">
        <f t="shared" si="77"/>
      </c>
      <c r="J76" s="47">
        <f t="shared" si="77"/>
      </c>
      <c r="K76" s="46">
        <f t="shared" si="77"/>
      </c>
      <c r="L76" s="46">
        <f t="shared" si="77"/>
      </c>
      <c r="M76" s="46">
        <f t="shared" si="77"/>
      </c>
      <c r="N76" s="89">
        <f t="shared" si="77"/>
      </c>
      <c r="O76" s="48">
        <f aca="true" t="shared" si="78" ref="O76:T76">IF(O75=0,"",обідл*O75/1000)</f>
      </c>
      <c r="P76" s="46">
        <f t="shared" si="78"/>
      </c>
      <c r="Q76" s="47">
        <f t="shared" si="78"/>
      </c>
      <c r="R76" s="46">
        <f t="shared" si="78"/>
      </c>
      <c r="S76" s="47">
        <f t="shared" si="78"/>
      </c>
      <c r="T76" s="46">
        <f t="shared" si="78"/>
      </c>
      <c r="U76" s="47">
        <f>IF(U75=0,"",обідл*U75/1000)</f>
      </c>
      <c r="V76" s="46">
        <f>IF(V75=0,"",обідл*V75/1000)</f>
      </c>
      <c r="W76" s="46">
        <f>IF(W75=0,"",полдникл*W75/1000)</f>
      </c>
      <c r="X76" s="46">
        <f>IF(X75=0,"",полдникл*X75/1000)</f>
      </c>
      <c r="Y76" s="89">
        <f>IF(Y75=0,"",полдникл*Y75/1000)</f>
      </c>
      <c r="Z76" s="48">
        <f aca="true" t="shared" si="79" ref="Z76:AG76">IF(Z75=0,"",ужинл*Z75/1000)</f>
      </c>
      <c r="AA76" s="47">
        <f t="shared" si="79"/>
      </c>
      <c r="AB76" s="46">
        <f t="shared" si="79"/>
      </c>
      <c r="AC76" s="47">
        <f t="shared" si="79"/>
      </c>
      <c r="AD76" s="46">
        <f t="shared" si="79"/>
      </c>
      <c r="AE76" s="47">
        <f t="shared" si="79"/>
      </c>
      <c r="AF76" s="46">
        <f t="shared" si="79"/>
      </c>
      <c r="AG76" s="89">
        <f t="shared" si="79"/>
      </c>
      <c r="AH76" s="153"/>
      <c r="AI76" s="161"/>
      <c r="AJ76" s="162"/>
      <c r="AK76" s="154"/>
      <c r="AL76" s="154"/>
      <c r="AM76" s="214"/>
      <c r="AN76" s="156"/>
      <c r="AP76">
        <v>75</v>
      </c>
      <c r="AQ76" s="62" t="s">
        <v>127</v>
      </c>
      <c r="AR76" s="61"/>
      <c r="AS76" s="61"/>
      <c r="AT76" s="61"/>
      <c r="AU76" s="61"/>
      <c r="AV76" s="61"/>
      <c r="AW76" s="61"/>
      <c r="AX76" s="61"/>
      <c r="AY76" s="61"/>
      <c r="AZ76" s="61">
        <v>5</v>
      </c>
      <c r="BA76" s="61"/>
      <c r="BB76" s="61"/>
      <c r="BC76" s="61"/>
      <c r="BD76" s="61">
        <v>141</v>
      </c>
      <c r="BE76" s="61"/>
      <c r="BF76" s="61"/>
      <c r="BG76" s="61"/>
      <c r="BH76" s="61"/>
      <c r="BI76" s="61"/>
      <c r="BJ76" s="61"/>
      <c r="BK76" s="61"/>
      <c r="BL76" s="61"/>
      <c r="BM76" s="61"/>
      <c r="BN76" s="61"/>
      <c r="BO76" s="61"/>
      <c r="BP76" s="61"/>
      <c r="BQ76" s="61">
        <v>40</v>
      </c>
      <c r="BR76" s="61"/>
      <c r="BS76" s="61"/>
      <c r="BT76" s="61"/>
      <c r="BU76" s="61"/>
      <c r="BV76" s="61"/>
      <c r="BW76" s="61">
        <v>5</v>
      </c>
      <c r="BX76" s="61"/>
      <c r="BY76" s="61"/>
      <c r="BZ76" s="61"/>
      <c r="CA76" s="61"/>
      <c r="CB76" s="61"/>
      <c r="CC76" s="61"/>
      <c r="CD76" s="61"/>
      <c r="CE76" s="61"/>
      <c r="CF76" s="61"/>
      <c r="CG76" s="61"/>
      <c r="CH76" s="61"/>
      <c r="CI76" s="61"/>
      <c r="CJ76" s="61"/>
      <c r="CK76" s="61"/>
      <c r="CL76" s="61"/>
      <c r="CM76" s="61"/>
      <c r="CN76" s="61"/>
      <c r="CO76" s="61"/>
      <c r="CP76" s="61"/>
      <c r="CQ76" s="61"/>
      <c r="CR76" s="61"/>
      <c r="CS76" s="61"/>
      <c r="CT76" s="61"/>
      <c r="CU76" s="61"/>
      <c r="CV76" s="61"/>
      <c r="CW76" s="61"/>
      <c r="CX76" s="61"/>
      <c r="CY76" s="61"/>
      <c r="CZ76" s="61"/>
      <c r="DA76" s="61"/>
      <c r="DB76" s="61"/>
      <c r="DC76" s="61"/>
      <c r="DD76" s="61"/>
      <c r="DE76" s="61">
        <v>200</v>
      </c>
      <c r="DF76" s="61"/>
      <c r="DG76" s="61"/>
      <c r="DH76" s="61"/>
      <c r="DI76" s="61"/>
      <c r="DJ76" s="61"/>
      <c r="DK76" s="61"/>
      <c r="DL76" s="61"/>
      <c r="DM76" s="61"/>
      <c r="DN76" s="61"/>
      <c r="DO76" s="61"/>
      <c r="DP76" s="61"/>
      <c r="DQ76" s="61"/>
      <c r="DR76" s="61"/>
      <c r="DS76" s="61"/>
      <c r="DT76" s="61"/>
      <c r="DU76" s="61"/>
      <c r="DV76" s="61"/>
      <c r="DW76" s="61"/>
      <c r="DX76" s="61"/>
      <c r="DY76" s="61"/>
    </row>
    <row r="77" spans="1:129" ht="31.5" customHeight="1">
      <c r="A77" s="191" t="s">
        <v>152</v>
      </c>
      <c r="B77" s="191"/>
      <c r="C77" s="191"/>
      <c r="D77" s="191"/>
      <c r="E77" s="192"/>
      <c r="F77" s="71" t="s">
        <v>198</v>
      </c>
      <c r="G77" s="80">
        <f>VLOOKUP(завтрак1,таб,72,FALSE)</f>
        <v>0</v>
      </c>
      <c r="H77" s="37">
        <f>VLOOKUP(завтрак2,таб,72,FALSE)</f>
        <v>0</v>
      </c>
      <c r="I77" s="38">
        <f>VLOOKUP(завтрак3,таб,72,FALSE)</f>
        <v>0</v>
      </c>
      <c r="J77" s="37">
        <f>VLOOKUP(завтрак4,таб,72,FALSE)</f>
        <v>0</v>
      </c>
      <c r="K77" s="38">
        <f>VLOOKUP(завтрак5,таб,72,FALSE)</f>
        <v>0</v>
      </c>
      <c r="L77" s="38">
        <f>VLOOKUP(завтрак6,таб,72,FALSE)</f>
        <v>0</v>
      </c>
      <c r="M77" s="28">
        <f>VLOOKUP(завтрак7,таб,72,FALSE)</f>
        <v>0</v>
      </c>
      <c r="N77" s="88">
        <f>VLOOKUP(завтрак8,таб,72,FALSE)</f>
        <v>0</v>
      </c>
      <c r="O77" s="39">
        <f>VLOOKUP(обед1,таб,72,FALSE)</f>
        <v>0</v>
      </c>
      <c r="P77" s="38">
        <f>VLOOKUP(обед2,таб,72,FALSE)</f>
        <v>0</v>
      </c>
      <c r="Q77" s="37">
        <f>VLOOKUP(обед3,таб,72,FALSE)</f>
        <v>0</v>
      </c>
      <c r="R77" s="38">
        <f>VLOOKUP(обед4,таб,72,FALSE)</f>
        <v>0</v>
      </c>
      <c r="S77" s="37">
        <f>VLOOKUP(обед5,таб,72,FALSE)</f>
        <v>0</v>
      </c>
      <c r="T77" s="38">
        <f>VLOOKUP(обед6,таб,72,FALSE)</f>
        <v>0</v>
      </c>
      <c r="U77" s="37">
        <f>VLOOKUP(обед7,таб,72,FALSE)</f>
        <v>0</v>
      </c>
      <c r="V77" s="38">
        <f>VLOOKUP(обед8,таб,72,FALSE)</f>
        <v>0</v>
      </c>
      <c r="W77" s="38">
        <f>VLOOKUP(полдник1,таб,72,FALSE)</f>
        <v>0</v>
      </c>
      <c r="X77" s="38">
        <f>VLOOKUP(полдник2,таб,72,FALSE)</f>
        <v>0</v>
      </c>
      <c r="Y77" s="95">
        <f>VLOOKUP(полдник3,таб,72,FALSE)</f>
        <v>0</v>
      </c>
      <c r="Z77" s="39">
        <f>VLOOKUP(ужин1,таб,72,FALSE)</f>
        <v>0</v>
      </c>
      <c r="AA77" s="37">
        <f>VLOOKUP(ужин2,таб,72,FALSE)</f>
        <v>0</v>
      </c>
      <c r="AB77" s="38">
        <f>VLOOKUP(ужин3,таб,72,FALSE)</f>
        <v>0</v>
      </c>
      <c r="AC77" s="37">
        <f>VLOOKUP(ужин4,таб,72,FALSE)</f>
        <v>0</v>
      </c>
      <c r="AD77" s="38">
        <f>VLOOKUP(ужин5,таб,72,FALSE)</f>
        <v>0</v>
      </c>
      <c r="AE77" s="37">
        <f>VLOOKUP(ужин6,таб,72,FALSE)</f>
        <v>0</v>
      </c>
      <c r="AF77" s="38">
        <f>VLOOKUP(ужин7,таб,72,FALSE)</f>
        <v>0</v>
      </c>
      <c r="AG77" s="95">
        <f>VLOOKUP(ужин8,таб,72,FALSE)</f>
        <v>0</v>
      </c>
      <c r="AH77" s="152"/>
      <c r="AI77" s="161">
        <f>AK77/сред</f>
        <v>0</v>
      </c>
      <c r="AJ77" s="162"/>
      <c r="AK77" s="154">
        <f>SUM(G78:AG78)</f>
        <v>0</v>
      </c>
      <c r="AL77" s="154"/>
      <c r="AM77" s="213">
        <f>IF(AK77=0,0,DJ117)</f>
        <v>0</v>
      </c>
      <c r="AN77" s="155">
        <f>AK77*AM77</f>
        <v>0</v>
      </c>
      <c r="AP77">
        <v>76</v>
      </c>
      <c r="AQ77" s="62" t="s">
        <v>128</v>
      </c>
      <c r="AR77" s="61"/>
      <c r="AS77" s="61"/>
      <c r="AT77" s="61"/>
      <c r="AU77" s="61"/>
      <c r="AV77" s="61"/>
      <c r="AW77" s="61"/>
      <c r="AX77" s="61"/>
      <c r="AY77" s="61"/>
      <c r="AZ77" s="61">
        <v>5</v>
      </c>
      <c r="BA77" s="61"/>
      <c r="BB77" s="61"/>
      <c r="BC77" s="61"/>
      <c r="BD77" s="61">
        <v>141</v>
      </c>
      <c r="BE77" s="61"/>
      <c r="BF77" s="61"/>
      <c r="BG77" s="61"/>
      <c r="BH77" s="61"/>
      <c r="BI77" s="61"/>
      <c r="BJ77" s="61"/>
      <c r="BK77" s="61"/>
      <c r="BL77" s="61"/>
      <c r="BM77" s="61"/>
      <c r="BN77" s="61"/>
      <c r="BO77" s="61"/>
      <c r="BP77" s="61">
        <v>40</v>
      </c>
      <c r="BQ77" s="61"/>
      <c r="BR77" s="61"/>
      <c r="BS77" s="61"/>
      <c r="BT77" s="61"/>
      <c r="BU77" s="61"/>
      <c r="BV77" s="61"/>
      <c r="BW77" s="61">
        <v>5</v>
      </c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1"/>
      <c r="CJ77" s="61"/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61"/>
      <c r="CY77" s="61"/>
      <c r="CZ77" s="61"/>
      <c r="DA77" s="61"/>
      <c r="DB77" s="61"/>
      <c r="DC77" s="61"/>
      <c r="DD77" s="61"/>
      <c r="DE77" s="61">
        <v>200</v>
      </c>
      <c r="DF77" s="61"/>
      <c r="DG77" s="61"/>
      <c r="DH77" s="61"/>
      <c r="DI77" s="61"/>
      <c r="DJ77" s="61"/>
      <c r="DK77" s="61"/>
      <c r="DL77" s="61"/>
      <c r="DM77" s="61"/>
      <c r="DN77" s="61"/>
      <c r="DO77" s="61"/>
      <c r="DP77" s="61"/>
      <c r="DQ77" s="61"/>
      <c r="DR77" s="61"/>
      <c r="DS77" s="61"/>
      <c r="DT77" s="61"/>
      <c r="DU77" s="61"/>
      <c r="DV77" s="61"/>
      <c r="DW77" s="61"/>
      <c r="DX77" s="61"/>
      <c r="DY77" s="61"/>
    </row>
    <row r="78" spans="1:129" ht="31.5" customHeight="1">
      <c r="A78" s="195"/>
      <c r="B78" s="195"/>
      <c r="C78" s="195"/>
      <c r="D78" s="195"/>
      <c r="E78" s="196"/>
      <c r="F78" s="66" t="s">
        <v>199</v>
      </c>
      <c r="G78" s="81">
        <f aca="true" t="shared" si="80" ref="G78:N78">IF(G77=0,"",завтракл*G77/1000)</f>
      </c>
      <c r="H78" s="49">
        <f t="shared" si="80"/>
      </c>
      <c r="I78" s="45">
        <f t="shared" si="80"/>
      </c>
      <c r="J78" s="49">
        <f t="shared" si="80"/>
      </c>
      <c r="K78" s="45">
        <f t="shared" si="80"/>
      </c>
      <c r="L78" s="45">
        <f t="shared" si="80"/>
      </c>
      <c r="M78" s="46">
        <f t="shared" si="80"/>
      </c>
      <c r="N78" s="89">
        <f t="shared" si="80"/>
      </c>
      <c r="O78" s="50">
        <f aca="true" t="shared" si="81" ref="O78:T78">IF(O77=0,"",обідл*O77/1000)</f>
      </c>
      <c r="P78" s="45">
        <f t="shared" si="81"/>
      </c>
      <c r="Q78" s="49">
        <f t="shared" si="81"/>
      </c>
      <c r="R78" s="45">
        <f t="shared" si="81"/>
      </c>
      <c r="S78" s="49">
        <f t="shared" si="81"/>
      </c>
      <c r="T78" s="45">
        <f t="shared" si="81"/>
      </c>
      <c r="U78" s="49">
        <f>IF(U77=0,"",обідл*U77/1000)</f>
      </c>
      <c r="V78" s="45">
        <f>IF(V77=0,"",обідл*V77/1000)</f>
      </c>
      <c r="W78" s="45">
        <f>IF(W77=0,"",полдникл*W77/1000)</f>
      </c>
      <c r="X78" s="45">
        <f>IF(X77=0,"",полдникл*X77/1000)</f>
      </c>
      <c r="Y78" s="92">
        <f>IF(Y77=0,"",полдникл*Y77/1000)</f>
      </c>
      <c r="Z78" s="50">
        <f aca="true" t="shared" si="82" ref="Z78:AG78">IF(Z77=0,"",ужинл*Z77/1000)</f>
      </c>
      <c r="AA78" s="49">
        <f t="shared" si="82"/>
      </c>
      <c r="AB78" s="45">
        <f t="shared" si="82"/>
      </c>
      <c r="AC78" s="49">
        <f t="shared" si="82"/>
      </c>
      <c r="AD78" s="45">
        <f t="shared" si="82"/>
      </c>
      <c r="AE78" s="49">
        <f t="shared" si="82"/>
      </c>
      <c r="AF78" s="45">
        <f t="shared" si="82"/>
      </c>
      <c r="AG78" s="92">
        <f t="shared" si="82"/>
      </c>
      <c r="AH78" s="153"/>
      <c r="AI78" s="161"/>
      <c r="AJ78" s="162"/>
      <c r="AK78" s="154"/>
      <c r="AL78" s="154"/>
      <c r="AM78" s="214"/>
      <c r="AN78" s="156"/>
      <c r="AP78">
        <v>77</v>
      </c>
      <c r="AQ78" s="62" t="s">
        <v>251</v>
      </c>
      <c r="AR78" s="61"/>
      <c r="AS78" s="61"/>
      <c r="AT78" s="61"/>
      <c r="AU78" s="61"/>
      <c r="AV78" s="61"/>
      <c r="AW78" s="61"/>
      <c r="AX78" s="61"/>
      <c r="AY78" s="61"/>
      <c r="AZ78" s="61">
        <v>5</v>
      </c>
      <c r="BA78" s="61"/>
      <c r="BB78" s="61"/>
      <c r="BC78" s="61"/>
      <c r="BD78" s="61">
        <v>141</v>
      </c>
      <c r="BE78" s="61"/>
      <c r="BF78" s="61"/>
      <c r="BG78" s="61"/>
      <c r="BH78" s="61"/>
      <c r="BI78" s="61"/>
      <c r="BJ78" s="61"/>
      <c r="BK78" s="61"/>
      <c r="BL78" s="61"/>
      <c r="BM78" s="61"/>
      <c r="BN78" s="61"/>
      <c r="BO78" s="61"/>
      <c r="BP78" s="61"/>
      <c r="BQ78" s="61"/>
      <c r="BR78" s="61">
        <v>30</v>
      </c>
      <c r="BS78" s="61"/>
      <c r="BT78" s="61"/>
      <c r="BU78" s="61"/>
      <c r="BV78" s="61"/>
      <c r="BW78" s="61">
        <v>5</v>
      </c>
      <c r="BX78" s="61"/>
      <c r="BY78" s="61"/>
      <c r="BZ78" s="61"/>
      <c r="CA78" s="61"/>
      <c r="CB78" s="61"/>
      <c r="CC78" s="61"/>
      <c r="CD78" s="61"/>
      <c r="CE78" s="61"/>
      <c r="CF78" s="61"/>
      <c r="CG78" s="61"/>
      <c r="CH78" s="61"/>
      <c r="CI78" s="61"/>
      <c r="CJ78" s="61"/>
      <c r="CK78" s="61"/>
      <c r="CL78" s="61"/>
      <c r="CM78" s="61"/>
      <c r="CN78" s="61"/>
      <c r="CO78" s="61"/>
      <c r="CP78" s="61"/>
      <c r="CQ78" s="61"/>
      <c r="CR78" s="61"/>
      <c r="CS78" s="61"/>
      <c r="CT78" s="61"/>
      <c r="CU78" s="61"/>
      <c r="CV78" s="61"/>
      <c r="CW78" s="61"/>
      <c r="CX78" s="61"/>
      <c r="CY78" s="61"/>
      <c r="CZ78" s="61"/>
      <c r="DA78" s="61"/>
      <c r="DB78" s="61"/>
      <c r="DC78" s="61"/>
      <c r="DD78" s="61"/>
      <c r="DE78" s="61">
        <v>200</v>
      </c>
      <c r="DF78" s="61"/>
      <c r="DG78" s="61"/>
      <c r="DH78" s="61"/>
      <c r="DI78" s="61"/>
      <c r="DJ78" s="61"/>
      <c r="DK78" s="61"/>
      <c r="DL78" s="61"/>
      <c r="DM78" s="61"/>
      <c r="DN78" s="61"/>
      <c r="DO78" s="61"/>
      <c r="DP78" s="61"/>
      <c r="DQ78" s="61"/>
      <c r="DR78" s="61"/>
      <c r="DS78" s="61"/>
      <c r="DT78" s="61"/>
      <c r="DU78" s="61"/>
      <c r="DV78" s="61"/>
      <c r="DW78" s="61"/>
      <c r="DX78" s="61"/>
      <c r="DY78" s="61"/>
    </row>
    <row r="79" spans="1:129" ht="31.5" customHeight="1">
      <c r="A79" s="167" t="s">
        <v>153</v>
      </c>
      <c r="B79" s="167"/>
      <c r="C79" s="167"/>
      <c r="D79" s="167"/>
      <c r="E79" s="168"/>
      <c r="F79" s="71" t="s">
        <v>198</v>
      </c>
      <c r="G79" s="78">
        <f>VLOOKUP(завтрак1,таб,74,FALSE)</f>
        <v>0</v>
      </c>
      <c r="H79" s="34">
        <f>VLOOKUP(завтрак2,таб,74,FALSE)</f>
        <v>0</v>
      </c>
      <c r="I79" s="35">
        <f>VLOOKUP(завтрак3,таб,74,FALSE)</f>
        <v>0</v>
      </c>
      <c r="J79" s="34">
        <f>VLOOKUP(завтрак4,таб,74,FALSE)</f>
        <v>0</v>
      </c>
      <c r="K79" s="35">
        <f>VLOOKUP(завтрак5,таб,74,FALSE)</f>
        <v>0</v>
      </c>
      <c r="L79" s="35">
        <f>VLOOKUP(завтрак6,таб,74,FALSE)</f>
        <v>0</v>
      </c>
      <c r="M79" s="28">
        <f>VLOOKUP(завтрак7,таб,74,FALSE)</f>
        <v>0</v>
      </c>
      <c r="N79" s="88">
        <f>VLOOKUP(завтрак8,таб,74,FALSE)</f>
        <v>0</v>
      </c>
      <c r="O79" s="36">
        <f>VLOOKUP(обед1,таб,74,FALSE)</f>
        <v>0</v>
      </c>
      <c r="P79" s="35">
        <f>VLOOKUP(обед2,таб,74,FALSE)</f>
        <v>0</v>
      </c>
      <c r="Q79" s="34">
        <f>VLOOKUP(обед3,таб,74,FALSE)</f>
        <v>0</v>
      </c>
      <c r="R79" s="35">
        <f>VLOOKUP(обед4,таб,74,FALSE)</f>
        <v>0</v>
      </c>
      <c r="S79" s="34">
        <f>VLOOKUP(обед5,таб,74,FALSE)</f>
        <v>0</v>
      </c>
      <c r="T79" s="35">
        <f>VLOOKUP(обед6,таб,74,FALSE)</f>
        <v>0</v>
      </c>
      <c r="U79" s="34">
        <f>VLOOKUP(обед7,таб,74,FALSE)</f>
        <v>0</v>
      </c>
      <c r="V79" s="35">
        <f>VLOOKUP(обед8,таб,74,FALSE)</f>
        <v>0</v>
      </c>
      <c r="W79" s="35">
        <f>VLOOKUP(полдник1,таб,74,FALSE)</f>
        <v>0</v>
      </c>
      <c r="X79" s="35">
        <f>VLOOKUP(полдник2,таб,74,FALSE)</f>
        <v>0</v>
      </c>
      <c r="Y79" s="94">
        <f>VLOOKUP(полдник3,таб,74,FALSE)</f>
        <v>0</v>
      </c>
      <c r="Z79" s="36">
        <f>VLOOKUP(ужин1,таб,74,FALSE)</f>
        <v>0</v>
      </c>
      <c r="AA79" s="34">
        <f>VLOOKUP(ужин2,таб,74,FALSE)</f>
        <v>0</v>
      </c>
      <c r="AB79" s="35">
        <f>VLOOKUP(ужин3,таб,74,FALSE)</f>
        <v>0</v>
      </c>
      <c r="AC79" s="34">
        <f>VLOOKUP(ужин4,таб,74,FALSE)</f>
        <v>0</v>
      </c>
      <c r="AD79" s="35">
        <f>VLOOKUP(ужин5,таб,74,FALSE)</f>
        <v>0</v>
      </c>
      <c r="AE79" s="34">
        <f>VLOOKUP(ужин6,таб,74,FALSE)</f>
        <v>0</v>
      </c>
      <c r="AF79" s="35">
        <f>VLOOKUP(ужин7,таб,74,FALSE)</f>
        <v>0</v>
      </c>
      <c r="AG79" s="94">
        <f>VLOOKUP(ужин8,таб,74,FALSE)</f>
        <v>0</v>
      </c>
      <c r="AH79" s="152">
        <v>613052</v>
      </c>
      <c r="AI79" s="161">
        <f>AK79/сред</f>
        <v>0</v>
      </c>
      <c r="AJ79" s="162"/>
      <c r="AK79" s="154">
        <f>SUM(G80:AG80)</f>
        <v>0</v>
      </c>
      <c r="AL79" s="154"/>
      <c r="AM79" s="213">
        <f>IF(AK79=0,0,DL117)</f>
        <v>0</v>
      </c>
      <c r="AN79" s="155">
        <f>AK79*AM79</f>
        <v>0</v>
      </c>
      <c r="AP79">
        <v>78</v>
      </c>
      <c r="AQ79" s="62" t="s">
        <v>129</v>
      </c>
      <c r="AR79" s="61"/>
      <c r="AS79" s="61"/>
      <c r="AT79" s="61"/>
      <c r="AU79" s="61"/>
      <c r="AV79" s="61"/>
      <c r="AW79" s="61"/>
      <c r="AX79" s="61"/>
      <c r="AY79" s="61"/>
      <c r="AZ79" s="61">
        <v>8</v>
      </c>
      <c r="BA79" s="61"/>
      <c r="BB79" s="61"/>
      <c r="BC79" s="61"/>
      <c r="BD79" s="61"/>
      <c r="BE79" s="61"/>
      <c r="BF79" s="61"/>
      <c r="BG79" s="61"/>
      <c r="BH79" s="61"/>
      <c r="BI79" s="61"/>
      <c r="BJ79" s="61"/>
      <c r="BK79" s="61"/>
      <c r="BL79" s="61"/>
      <c r="BM79" s="61"/>
      <c r="BN79" s="61">
        <v>71</v>
      </c>
      <c r="BO79" s="61"/>
      <c r="BP79" s="61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61"/>
      <c r="CC79" s="61"/>
      <c r="CD79" s="61"/>
      <c r="CE79" s="61"/>
      <c r="CF79" s="61"/>
      <c r="CG79" s="61"/>
      <c r="CH79" s="61"/>
      <c r="CI79" s="61"/>
      <c r="CJ79" s="61"/>
      <c r="CK79" s="61"/>
      <c r="CL79" s="61"/>
      <c r="CM79" s="61"/>
      <c r="CN79" s="61"/>
      <c r="CO79" s="61"/>
      <c r="CP79" s="61"/>
      <c r="CQ79" s="61"/>
      <c r="CR79" s="61"/>
      <c r="CS79" s="61"/>
      <c r="CT79" s="61"/>
      <c r="CU79" s="61"/>
      <c r="CV79" s="61"/>
      <c r="CW79" s="61"/>
      <c r="CX79" s="61"/>
      <c r="CY79" s="61"/>
      <c r="CZ79" s="61"/>
      <c r="DA79" s="61"/>
      <c r="DB79" s="61"/>
      <c r="DC79" s="61"/>
      <c r="DD79" s="61"/>
      <c r="DE79" s="61">
        <v>150</v>
      </c>
      <c r="DF79" s="61"/>
      <c r="DG79" s="61"/>
      <c r="DH79" s="61"/>
      <c r="DI79" s="61"/>
      <c r="DJ79" s="61"/>
      <c r="DK79" s="61"/>
      <c r="DL79" s="61"/>
      <c r="DM79" s="61"/>
      <c r="DN79" s="61"/>
      <c r="DO79" s="61"/>
      <c r="DP79" s="61"/>
      <c r="DQ79" s="61"/>
      <c r="DR79" s="61"/>
      <c r="DS79" s="61"/>
      <c r="DT79" s="61"/>
      <c r="DU79" s="61"/>
      <c r="DV79" s="61"/>
      <c r="DW79" s="61"/>
      <c r="DX79" s="61"/>
      <c r="DY79" s="61"/>
    </row>
    <row r="80" spans="1:129" ht="31.5" customHeight="1">
      <c r="A80" s="167"/>
      <c r="B80" s="167"/>
      <c r="C80" s="167"/>
      <c r="D80" s="167"/>
      <c r="E80" s="168"/>
      <c r="F80" s="66" t="s">
        <v>199</v>
      </c>
      <c r="G80" s="79">
        <f aca="true" t="shared" si="83" ref="G80:N80">IF(G79=0,"",завтракл*G79/1000)</f>
      </c>
      <c r="H80" s="47">
        <f t="shared" si="83"/>
      </c>
      <c r="I80" s="46">
        <f t="shared" si="83"/>
      </c>
      <c r="J80" s="47">
        <f t="shared" si="83"/>
      </c>
      <c r="K80" s="46">
        <f t="shared" si="83"/>
      </c>
      <c r="L80" s="46">
        <f t="shared" si="83"/>
      </c>
      <c r="M80" s="46">
        <f t="shared" si="83"/>
      </c>
      <c r="N80" s="89">
        <f t="shared" si="83"/>
      </c>
      <c r="O80" s="48">
        <f aca="true" t="shared" si="84" ref="O80:T80">IF(O79=0,"",обідл*O79/1000)</f>
      </c>
      <c r="P80" s="46">
        <f t="shared" si="84"/>
      </c>
      <c r="Q80" s="47">
        <f t="shared" si="84"/>
      </c>
      <c r="R80" s="46">
        <f t="shared" si="84"/>
      </c>
      <c r="S80" s="47">
        <f t="shared" si="84"/>
      </c>
      <c r="T80" s="46">
        <f t="shared" si="84"/>
      </c>
      <c r="U80" s="47">
        <f>IF(U79=0,"",обідл*U79/1000)</f>
      </c>
      <c r="V80" s="46">
        <f>IF(V79=0,"",обідл*V79/1000)</f>
      </c>
      <c r="W80" s="46">
        <f>IF(W79=0,"",полдникл*W79/1000)</f>
      </c>
      <c r="X80" s="46">
        <f>IF(X79=0,"",полдникл*X79/1000)</f>
      </c>
      <c r="Y80" s="89">
        <f>IF(Y79=0,"",полдникл*Y79/1000)</f>
      </c>
      <c r="Z80" s="48">
        <f aca="true" t="shared" si="85" ref="Z80:AG80">IF(Z79=0,"",ужинл*Z79/1000)</f>
      </c>
      <c r="AA80" s="47">
        <f t="shared" si="85"/>
      </c>
      <c r="AB80" s="46">
        <f t="shared" si="85"/>
      </c>
      <c r="AC80" s="47">
        <f t="shared" si="85"/>
      </c>
      <c r="AD80" s="46">
        <f t="shared" si="85"/>
      </c>
      <c r="AE80" s="47">
        <f t="shared" si="85"/>
      </c>
      <c r="AF80" s="46">
        <f t="shared" si="85"/>
      </c>
      <c r="AG80" s="89">
        <f t="shared" si="85"/>
      </c>
      <c r="AH80" s="153"/>
      <c r="AI80" s="161"/>
      <c r="AJ80" s="162"/>
      <c r="AK80" s="154"/>
      <c r="AL80" s="154"/>
      <c r="AM80" s="214"/>
      <c r="AN80" s="156"/>
      <c r="AP80">
        <v>79</v>
      </c>
      <c r="AQ80" s="62" t="s">
        <v>130</v>
      </c>
      <c r="AR80" s="61"/>
      <c r="AS80" s="61"/>
      <c r="AT80" s="61"/>
      <c r="AU80" s="61"/>
      <c r="AV80" s="61"/>
      <c r="AW80" s="61"/>
      <c r="AX80" s="61"/>
      <c r="AY80" s="61"/>
      <c r="AZ80" s="61">
        <v>8</v>
      </c>
      <c r="BA80" s="61"/>
      <c r="BB80" s="61"/>
      <c r="BC80" s="61"/>
      <c r="BD80" s="61"/>
      <c r="BE80" s="61"/>
      <c r="BF80" s="61"/>
      <c r="BG80" s="61"/>
      <c r="BH80" s="61"/>
      <c r="BI80" s="61"/>
      <c r="BJ80" s="61"/>
      <c r="BK80" s="61"/>
      <c r="BL80" s="61"/>
      <c r="BM80" s="61"/>
      <c r="BN80" s="61"/>
      <c r="BO80" s="61"/>
      <c r="BP80" s="61"/>
      <c r="BQ80" s="61">
        <v>60</v>
      </c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61"/>
      <c r="CC80" s="61"/>
      <c r="CD80" s="61"/>
      <c r="CE80" s="61"/>
      <c r="CF80" s="61"/>
      <c r="CG80" s="61"/>
      <c r="CH80" s="61"/>
      <c r="CI80" s="61"/>
      <c r="CJ80" s="61"/>
      <c r="CK80" s="61"/>
      <c r="CL80" s="61"/>
      <c r="CM80" s="61"/>
      <c r="CN80" s="61"/>
      <c r="CO80" s="61"/>
      <c r="CP80" s="61"/>
      <c r="CQ80" s="61"/>
      <c r="CR80" s="61"/>
      <c r="CS80" s="61"/>
      <c r="CT80" s="61"/>
      <c r="CU80" s="61"/>
      <c r="CV80" s="61"/>
      <c r="CW80" s="61"/>
      <c r="CX80" s="61"/>
      <c r="CY80" s="61"/>
      <c r="CZ80" s="61"/>
      <c r="DA80" s="61"/>
      <c r="DB80" s="61"/>
      <c r="DC80" s="61"/>
      <c r="DD80" s="61"/>
      <c r="DE80" s="61">
        <v>150</v>
      </c>
      <c r="DF80" s="61"/>
      <c r="DG80" s="61"/>
      <c r="DH80" s="61"/>
      <c r="DI80" s="61"/>
      <c r="DJ80" s="61"/>
      <c r="DK80" s="61"/>
      <c r="DL80" s="61"/>
      <c r="DM80" s="61"/>
      <c r="DN80" s="61"/>
      <c r="DO80" s="61"/>
      <c r="DP80" s="61"/>
      <c r="DQ80" s="61"/>
      <c r="DR80" s="61"/>
      <c r="DS80" s="61"/>
      <c r="DT80" s="61"/>
      <c r="DU80" s="61"/>
      <c r="DV80" s="61"/>
      <c r="DW80" s="61"/>
      <c r="DX80" s="61"/>
      <c r="DY80" s="61"/>
    </row>
    <row r="81" spans="1:129" ht="31.5" customHeight="1">
      <c r="A81" s="191" t="s">
        <v>32</v>
      </c>
      <c r="B81" s="191"/>
      <c r="C81" s="191"/>
      <c r="D81" s="191"/>
      <c r="E81" s="192"/>
      <c r="F81" s="71" t="s">
        <v>198</v>
      </c>
      <c r="G81" s="80">
        <f>VLOOKUP(завтрак1,таб,27,FALSE)</f>
        <v>0</v>
      </c>
      <c r="H81" s="37">
        <f>VLOOKUP(завтрак2,таб,27,FALSE)</f>
        <v>0</v>
      </c>
      <c r="I81" s="38">
        <f>VLOOKUP(завтрак3,таб,27,FALSE)</f>
        <v>0</v>
      </c>
      <c r="J81" s="37">
        <f>VLOOKUP(завтрак4,таб,27,FALSE)</f>
        <v>0</v>
      </c>
      <c r="K81" s="38">
        <f>VLOOKUP(завтрак5,таб,27,FALSE)</f>
        <v>0</v>
      </c>
      <c r="L81" s="38">
        <f>VLOOKUP(завтрак6,таб,27,FALSE)</f>
        <v>0</v>
      </c>
      <c r="M81" s="28">
        <f>VLOOKUP(завтрак7,таб,27,FALSE)</f>
        <v>0</v>
      </c>
      <c r="N81" s="88">
        <f>VLOOKUP(завтрак8,таб,27,FALSE)</f>
        <v>0</v>
      </c>
      <c r="O81" s="39">
        <f>VLOOKUP(обед1,таб,27,FALSE)</f>
        <v>0</v>
      </c>
      <c r="P81" s="38">
        <f>VLOOKUP(обед2,таб,27,FALSE)</f>
        <v>0</v>
      </c>
      <c r="Q81" s="37">
        <f>VLOOKUP(обед3,таб,27,FALSE)</f>
        <v>0</v>
      </c>
      <c r="R81" s="38">
        <f>VLOOKUP(обед4,таб,27,FALSE)</f>
        <v>0</v>
      </c>
      <c r="S81" s="37">
        <f>VLOOKUP(обед5,таб,27,FALSE)</f>
        <v>0</v>
      </c>
      <c r="T81" s="38">
        <f>VLOOKUP(обед6,таб,27,FALSE)</f>
        <v>0</v>
      </c>
      <c r="U81" s="37">
        <f>VLOOKUP(обед7,таб,27,FALSE)</f>
        <v>0</v>
      </c>
      <c r="V81" s="38">
        <f>VLOOKUP(обед8,таб,27,FALSE)</f>
        <v>0</v>
      </c>
      <c r="W81" s="38">
        <f>VLOOKUP(полдник1,таб,27,FALSE)</f>
        <v>0</v>
      </c>
      <c r="X81" s="38">
        <f>VLOOKUP(полдник2,таб,27,FALSE)</f>
        <v>0</v>
      </c>
      <c r="Y81" s="95">
        <f>VLOOKUP(полдник3,таб,27,FALSE)</f>
        <v>0</v>
      </c>
      <c r="Z81" s="39">
        <f>VLOOKUP(ужин1,таб,27,FALSE)</f>
        <v>0</v>
      </c>
      <c r="AA81" s="37">
        <f>VLOOKUP(ужин2,таб,27,FALSE)</f>
        <v>0</v>
      </c>
      <c r="AB81" s="38">
        <f>VLOOKUP(ужин3,таб,27,FALSE)</f>
        <v>0</v>
      </c>
      <c r="AC81" s="37">
        <f>VLOOKUP(ужин4,таб,27,FALSE)</f>
        <v>0</v>
      </c>
      <c r="AD81" s="38">
        <f>VLOOKUP(ужин5,таб,27,FALSE)</f>
        <v>0</v>
      </c>
      <c r="AE81" s="37">
        <f>VLOOKUP(ужин6,таб,27,FALSE)</f>
        <v>0</v>
      </c>
      <c r="AF81" s="38">
        <f>VLOOKUP(ужин7,таб,27,FALSE)</f>
        <v>0</v>
      </c>
      <c r="AG81" s="95">
        <f>VLOOKUP(ужин8,таб,27,FALSE)</f>
        <v>0</v>
      </c>
      <c r="AH81" s="152">
        <v>603015</v>
      </c>
      <c r="AI81" s="161">
        <f>AK81/сред</f>
        <v>0</v>
      </c>
      <c r="AJ81" s="162"/>
      <c r="AK81" s="154">
        <f>SUM(G82:AG82)</f>
        <v>0</v>
      </c>
      <c r="AL81" s="154"/>
      <c r="AM81" s="213">
        <f>IF(AK81=0,0,BQ117)</f>
        <v>0</v>
      </c>
      <c r="AN81" s="155">
        <f>AK81*AM81</f>
        <v>0</v>
      </c>
      <c r="AP81">
        <v>80</v>
      </c>
      <c r="AQ81" s="62" t="s">
        <v>131</v>
      </c>
      <c r="AR81" s="61"/>
      <c r="AS81" s="61"/>
      <c r="AT81" s="61"/>
      <c r="AU81" s="61"/>
      <c r="AV81" s="61"/>
      <c r="AW81" s="61"/>
      <c r="AX81" s="61"/>
      <c r="AY81" s="61"/>
      <c r="AZ81" s="61">
        <v>8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/>
      <c r="BP81" s="61">
        <v>60</v>
      </c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1"/>
      <c r="CG81" s="61"/>
      <c r="CH81" s="61"/>
      <c r="CI81" s="61"/>
      <c r="CJ81" s="61"/>
      <c r="CK81" s="61"/>
      <c r="CL81" s="61"/>
      <c r="CM81" s="61"/>
      <c r="CN81" s="61"/>
      <c r="CO81" s="61"/>
      <c r="CP81" s="61"/>
      <c r="CQ81" s="61"/>
      <c r="CR81" s="61"/>
      <c r="CS81" s="61"/>
      <c r="CT81" s="61"/>
      <c r="CU81" s="61"/>
      <c r="CV81" s="61"/>
      <c r="CW81" s="61"/>
      <c r="CX81" s="61"/>
      <c r="CY81" s="61"/>
      <c r="CZ81" s="61"/>
      <c r="DA81" s="61"/>
      <c r="DB81" s="61"/>
      <c r="DC81" s="61"/>
      <c r="DD81" s="61"/>
      <c r="DE81" s="61">
        <v>150</v>
      </c>
      <c r="DF81" s="61"/>
      <c r="DG81" s="61"/>
      <c r="DH81" s="61"/>
      <c r="DI81" s="61"/>
      <c r="DJ81" s="61"/>
      <c r="DK81" s="61"/>
      <c r="DL81" s="61"/>
      <c r="DM81" s="61"/>
      <c r="DN81" s="61"/>
      <c r="DO81" s="61"/>
      <c r="DP81" s="61"/>
      <c r="DQ81" s="61"/>
      <c r="DR81" s="61"/>
      <c r="DS81" s="61"/>
      <c r="DT81" s="61"/>
      <c r="DU81" s="61"/>
      <c r="DV81" s="61"/>
      <c r="DW81" s="61"/>
      <c r="DX81" s="61"/>
      <c r="DY81" s="61"/>
    </row>
    <row r="82" spans="1:129" ht="31.5" customHeight="1">
      <c r="A82" s="195"/>
      <c r="B82" s="195"/>
      <c r="C82" s="195"/>
      <c r="D82" s="195"/>
      <c r="E82" s="196"/>
      <c r="F82" s="66" t="s">
        <v>199</v>
      </c>
      <c r="G82" s="81">
        <f aca="true" t="shared" si="86" ref="G82:N82">IF(G81=0,"",завтракл*G81/1000)</f>
      </c>
      <c r="H82" s="49">
        <f t="shared" si="86"/>
      </c>
      <c r="I82" s="45">
        <f t="shared" si="86"/>
      </c>
      <c r="J82" s="49">
        <f t="shared" si="86"/>
      </c>
      <c r="K82" s="45">
        <f t="shared" si="86"/>
      </c>
      <c r="L82" s="45">
        <f t="shared" si="86"/>
      </c>
      <c r="M82" s="46">
        <f t="shared" si="86"/>
      </c>
      <c r="N82" s="89">
        <f t="shared" si="86"/>
      </c>
      <c r="O82" s="50">
        <f aca="true" t="shared" si="87" ref="O82:T82">IF(O81=0,"",обідл*O81/1000)</f>
      </c>
      <c r="P82" s="45">
        <f t="shared" si="87"/>
      </c>
      <c r="Q82" s="49">
        <f t="shared" si="87"/>
      </c>
      <c r="R82" s="45">
        <f t="shared" si="87"/>
      </c>
      <c r="S82" s="49">
        <f t="shared" si="87"/>
      </c>
      <c r="T82" s="45">
        <f t="shared" si="87"/>
      </c>
      <c r="U82" s="49">
        <f>IF(U81=0,"",обідл*U81/1000)</f>
      </c>
      <c r="V82" s="45">
        <f>IF(V81=0,"",обідл*V81/1000)</f>
      </c>
      <c r="W82" s="45">
        <f>IF(W81=0,"",полдникл*W81/1000)</f>
      </c>
      <c r="X82" s="45">
        <f>IF(X81=0,"",полдникл*X81/1000)</f>
      </c>
      <c r="Y82" s="92">
        <f>IF(Y81=0,"",полдникл*Y81/1000)</f>
      </c>
      <c r="Z82" s="50">
        <f aca="true" t="shared" si="88" ref="Z82:AG82">IF(Z81=0,"",ужинл*Z81/1000)</f>
      </c>
      <c r="AA82" s="49">
        <f t="shared" si="88"/>
      </c>
      <c r="AB82" s="45">
        <f t="shared" si="88"/>
      </c>
      <c r="AC82" s="49">
        <f t="shared" si="88"/>
      </c>
      <c r="AD82" s="45">
        <f t="shared" si="88"/>
      </c>
      <c r="AE82" s="49">
        <f t="shared" si="88"/>
      </c>
      <c r="AF82" s="45">
        <f t="shared" si="88"/>
      </c>
      <c r="AG82" s="92">
        <f t="shared" si="88"/>
      </c>
      <c r="AH82" s="153"/>
      <c r="AI82" s="161"/>
      <c r="AJ82" s="162"/>
      <c r="AK82" s="154"/>
      <c r="AL82" s="154"/>
      <c r="AM82" s="214"/>
      <c r="AN82" s="156"/>
      <c r="AP82">
        <v>81</v>
      </c>
      <c r="AQ82" s="62" t="s">
        <v>132</v>
      </c>
      <c r="AR82" s="61"/>
      <c r="AS82" s="61"/>
      <c r="AT82" s="61"/>
      <c r="AU82" s="61"/>
      <c r="AV82" s="61"/>
      <c r="AW82" s="61"/>
      <c r="AX82" s="61"/>
      <c r="AY82" s="61"/>
      <c r="AZ82" s="61">
        <v>8</v>
      </c>
      <c r="BA82" s="61"/>
      <c r="BB82" s="61"/>
      <c r="BC82" s="61"/>
      <c r="BD82" s="61"/>
      <c r="BE82" s="61"/>
      <c r="BF82" s="61"/>
      <c r="BG82" s="61"/>
      <c r="BH82" s="61"/>
      <c r="BI82" s="61"/>
      <c r="BJ82" s="61"/>
      <c r="BK82" s="61"/>
      <c r="BL82" s="61"/>
      <c r="BM82" s="61"/>
      <c r="BN82" s="61"/>
      <c r="BO82" s="61"/>
      <c r="BP82" s="61"/>
      <c r="BQ82" s="61"/>
      <c r="BR82" s="61">
        <v>54</v>
      </c>
      <c r="BS82" s="61"/>
      <c r="BT82" s="61"/>
      <c r="BU82" s="61"/>
      <c r="BV82" s="61"/>
      <c r="BW82" s="61"/>
      <c r="BX82" s="61"/>
      <c r="BY82" s="61"/>
      <c r="BZ82" s="61"/>
      <c r="CA82" s="61"/>
      <c r="CB82" s="61"/>
      <c r="CC82" s="61"/>
      <c r="CD82" s="61"/>
      <c r="CE82" s="61"/>
      <c r="CF82" s="61"/>
      <c r="CG82" s="61"/>
      <c r="CH82" s="61"/>
      <c r="CI82" s="61"/>
      <c r="CJ82" s="61"/>
      <c r="CK82" s="61"/>
      <c r="CL82" s="61"/>
      <c r="CM82" s="61"/>
      <c r="CN82" s="61"/>
      <c r="CO82" s="61"/>
      <c r="CP82" s="61"/>
      <c r="CQ82" s="61"/>
      <c r="CR82" s="61"/>
      <c r="CS82" s="61"/>
      <c r="CT82" s="61"/>
      <c r="CU82" s="61"/>
      <c r="CV82" s="61"/>
      <c r="CW82" s="61"/>
      <c r="CX82" s="61"/>
      <c r="CY82" s="61"/>
      <c r="CZ82" s="61"/>
      <c r="DA82" s="61"/>
      <c r="DB82" s="61"/>
      <c r="DC82" s="61"/>
      <c r="DD82" s="61"/>
      <c r="DE82" s="61">
        <v>150</v>
      </c>
      <c r="DF82" s="61"/>
      <c r="DG82" s="61"/>
      <c r="DH82" s="61"/>
      <c r="DI82" s="61"/>
      <c r="DJ82" s="61"/>
      <c r="DK82" s="61"/>
      <c r="DL82" s="61"/>
      <c r="DM82" s="61"/>
      <c r="DN82" s="61"/>
      <c r="DO82" s="61"/>
      <c r="DP82" s="61"/>
      <c r="DQ82" s="61"/>
      <c r="DR82" s="61"/>
      <c r="DS82" s="61"/>
      <c r="DT82" s="61"/>
      <c r="DU82" s="61"/>
      <c r="DV82" s="61"/>
      <c r="DW82" s="61"/>
      <c r="DX82" s="61"/>
      <c r="DY82" s="61"/>
    </row>
    <row r="83" spans="1:129" ht="31.5" customHeight="1">
      <c r="A83" s="167" t="s">
        <v>34</v>
      </c>
      <c r="B83" s="167"/>
      <c r="C83" s="167"/>
      <c r="D83" s="167"/>
      <c r="E83" s="168"/>
      <c r="F83" s="71" t="s">
        <v>198</v>
      </c>
      <c r="G83" s="78">
        <f>VLOOKUP(завтрак1,таб,28,FALSE)</f>
        <v>0</v>
      </c>
      <c r="H83" s="34">
        <f>VLOOKUP(завтрак2,таб,28,FALSE)</f>
        <v>0</v>
      </c>
      <c r="I83" s="35">
        <f>VLOOKUP(завтрак3,таб,28,FALSE)</f>
        <v>0</v>
      </c>
      <c r="J83" s="34">
        <f>VLOOKUP(завтрак4,таб,28,FALSE)</f>
        <v>0</v>
      </c>
      <c r="K83" s="35">
        <f>VLOOKUP(завтрак5,таб,28,FALSE)</f>
        <v>0</v>
      </c>
      <c r="L83" s="35">
        <f>VLOOKUP(завтрак6,таб,28,FALSE)</f>
        <v>0</v>
      </c>
      <c r="M83" s="28">
        <f>VLOOKUP(завтрак7,таб,28,FALSE)</f>
        <v>0</v>
      </c>
      <c r="N83" s="88">
        <f>VLOOKUP(завтрак8,таб,28,FALSE)</f>
        <v>0</v>
      </c>
      <c r="O83" s="36">
        <f>VLOOKUP(обед1,таб,28,FALSE)</f>
        <v>0</v>
      </c>
      <c r="P83" s="35">
        <f>VLOOKUP(обед2,таб,28,FALSE)</f>
        <v>0</v>
      </c>
      <c r="Q83" s="34">
        <f>VLOOKUP(обед3,таб,28,FALSE)</f>
        <v>0</v>
      </c>
      <c r="R83" s="35">
        <f>VLOOKUP(обед4,таб,28,FALSE)</f>
        <v>0</v>
      </c>
      <c r="S83" s="34">
        <f>VLOOKUP(обед5,таб,28,FALSE)</f>
        <v>0</v>
      </c>
      <c r="T83" s="35">
        <f>VLOOKUP(обед6,таб,28,FALSE)</f>
        <v>0</v>
      </c>
      <c r="U83" s="34">
        <f>VLOOKUP(обед7,таб,28,FALSE)</f>
        <v>0</v>
      </c>
      <c r="V83" s="35">
        <f>VLOOKUP(обед8,таб,28,FALSE)</f>
        <v>0</v>
      </c>
      <c r="W83" s="35">
        <f>VLOOKUP(полдник1,таб,28,FALSE)</f>
        <v>0</v>
      </c>
      <c r="X83" s="35">
        <f>VLOOKUP(полдник2,таб,28,FALSE)</f>
        <v>0</v>
      </c>
      <c r="Y83" s="94">
        <f>VLOOKUP(полдник3,таб,28,FALSE)</f>
        <v>0</v>
      </c>
      <c r="Z83" s="36">
        <f>VLOOKUP(ужин1,таб,28,FALSE)</f>
        <v>0</v>
      </c>
      <c r="AA83" s="34">
        <f>VLOOKUP(ужин2,таб,28,FALSE)</f>
        <v>0</v>
      </c>
      <c r="AB83" s="35">
        <f>VLOOKUP(ужин3,таб,28,FALSE)</f>
        <v>0</v>
      </c>
      <c r="AC83" s="34">
        <f>VLOOKUP(ужин4,таб,28,FALSE)</f>
        <v>0</v>
      </c>
      <c r="AD83" s="35">
        <f>VLOOKUP(ужин5,таб,28,FALSE)</f>
        <v>0</v>
      </c>
      <c r="AE83" s="34">
        <f>VLOOKUP(ужин6,таб,28,FALSE)</f>
        <v>0</v>
      </c>
      <c r="AF83" s="35">
        <f>VLOOKUP(ужин7,таб,28,FALSE)</f>
        <v>0</v>
      </c>
      <c r="AG83" s="94">
        <f>VLOOKUP(ужин8,таб,28,FALSE)</f>
        <v>0</v>
      </c>
      <c r="AH83" s="152">
        <v>613046</v>
      </c>
      <c r="AI83" s="161">
        <f>AK83/сред</f>
        <v>0</v>
      </c>
      <c r="AJ83" s="162"/>
      <c r="AK83" s="154">
        <f>SUM(G84:AG84)</f>
        <v>0</v>
      </c>
      <c r="AL83" s="154"/>
      <c r="AM83" s="213">
        <f>IF(AK83=0,0,BR117)</f>
        <v>0</v>
      </c>
      <c r="AN83" s="155">
        <f>AK83*AM83</f>
        <v>0</v>
      </c>
      <c r="AP83">
        <v>82</v>
      </c>
      <c r="AQ83" s="62" t="s">
        <v>133</v>
      </c>
      <c r="AR83" s="61"/>
      <c r="AS83" s="61"/>
      <c r="AT83" s="61"/>
      <c r="AU83" s="61"/>
      <c r="AV83" s="61"/>
      <c r="AW83" s="61"/>
      <c r="AX83" s="61"/>
      <c r="AY83" s="61"/>
      <c r="AZ83" s="61">
        <v>8</v>
      </c>
      <c r="BA83" s="61"/>
      <c r="BB83" s="61"/>
      <c r="BC83" s="61"/>
      <c r="BD83" s="61"/>
      <c r="BE83" s="61"/>
      <c r="BF83" s="61"/>
      <c r="BG83" s="61"/>
      <c r="BH83" s="61"/>
      <c r="BI83" s="61"/>
      <c r="BJ83" s="61"/>
      <c r="BK83" s="61"/>
      <c r="BL83" s="61"/>
      <c r="BM83" s="61"/>
      <c r="BN83" s="61"/>
      <c r="BO83" s="61"/>
      <c r="BP83" s="61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61"/>
      <c r="CC83" s="61"/>
      <c r="CD83" s="61"/>
      <c r="CE83" s="61"/>
      <c r="CF83" s="61"/>
      <c r="CG83" s="61"/>
      <c r="CH83" s="61"/>
      <c r="CI83" s="61"/>
      <c r="CJ83" s="61"/>
      <c r="CK83" s="61"/>
      <c r="CL83" s="61"/>
      <c r="CM83" s="61"/>
      <c r="CN83" s="61"/>
      <c r="CO83" s="61"/>
      <c r="CP83" s="61"/>
      <c r="CQ83" s="61"/>
      <c r="CR83" s="61"/>
      <c r="CS83" s="61"/>
      <c r="CT83" s="61"/>
      <c r="CU83" s="61"/>
      <c r="CV83" s="61"/>
      <c r="CW83" s="61"/>
      <c r="CX83" s="61"/>
      <c r="CY83" s="61"/>
      <c r="CZ83" s="61"/>
      <c r="DA83" s="61"/>
      <c r="DB83" s="61"/>
      <c r="DC83" s="61"/>
      <c r="DD83" s="61"/>
      <c r="DE83" s="61">
        <v>150</v>
      </c>
      <c r="DF83" s="61"/>
      <c r="DG83" s="61"/>
      <c r="DH83" s="61"/>
      <c r="DI83" s="61"/>
      <c r="DJ83" s="61">
        <v>50</v>
      </c>
      <c r="DK83" s="61"/>
      <c r="DL83" s="61"/>
      <c r="DM83" s="61"/>
      <c r="DN83" s="61"/>
      <c r="DO83" s="61"/>
      <c r="DP83" s="61"/>
      <c r="DQ83" s="61"/>
      <c r="DR83" s="61"/>
      <c r="DS83" s="61"/>
      <c r="DT83" s="61"/>
      <c r="DU83" s="61"/>
      <c r="DV83" s="61"/>
      <c r="DW83" s="61"/>
      <c r="DX83" s="61"/>
      <c r="DY83" s="61"/>
    </row>
    <row r="84" spans="1:129" ht="31.5" customHeight="1">
      <c r="A84" s="167"/>
      <c r="B84" s="167"/>
      <c r="C84" s="167"/>
      <c r="D84" s="167"/>
      <c r="E84" s="168"/>
      <c r="F84" s="66" t="s">
        <v>199</v>
      </c>
      <c r="G84" s="79">
        <f aca="true" t="shared" si="89" ref="G84:N84">IF(G83=0,"",завтракл*G83/1000)</f>
      </c>
      <c r="H84" s="47">
        <f t="shared" si="89"/>
      </c>
      <c r="I84" s="46">
        <f t="shared" si="89"/>
      </c>
      <c r="J84" s="47">
        <f t="shared" si="89"/>
      </c>
      <c r="K84" s="46">
        <f t="shared" si="89"/>
      </c>
      <c r="L84" s="46">
        <f t="shared" si="89"/>
      </c>
      <c r="M84" s="46">
        <f t="shared" si="89"/>
      </c>
      <c r="N84" s="89">
        <f t="shared" si="89"/>
      </c>
      <c r="O84" s="48">
        <f aca="true" t="shared" si="90" ref="O84:T84">IF(O83=0,"",обідл*O83/1000)</f>
      </c>
      <c r="P84" s="46">
        <f t="shared" si="90"/>
      </c>
      <c r="Q84" s="47">
        <f t="shared" si="90"/>
      </c>
      <c r="R84" s="46">
        <f t="shared" si="90"/>
      </c>
      <c r="S84" s="47">
        <f t="shared" si="90"/>
      </c>
      <c r="T84" s="46">
        <f t="shared" si="90"/>
      </c>
      <c r="U84" s="47">
        <f>IF(U83=0,"",обідл*U83/1000)</f>
      </c>
      <c r="V84" s="46">
        <f>IF(V83=0,"",обідл*V83/1000)</f>
      </c>
      <c r="W84" s="46">
        <f>IF(W83=0,"",полдникл*W83/1000)</f>
      </c>
      <c r="X84" s="46">
        <f>IF(X83=0,"",полдникл*X83/1000)</f>
      </c>
      <c r="Y84" s="89">
        <f>IF(Y83=0,"",полдникл*Y83/1000)</f>
      </c>
      <c r="Z84" s="48">
        <f aca="true" t="shared" si="91" ref="Z84:AG84">IF(Z83=0,"",ужинл*Z83/1000)</f>
      </c>
      <c r="AA84" s="47">
        <f t="shared" si="91"/>
      </c>
      <c r="AB84" s="46">
        <f t="shared" si="91"/>
      </c>
      <c r="AC84" s="47">
        <f t="shared" si="91"/>
      </c>
      <c r="AD84" s="46">
        <f t="shared" si="91"/>
      </c>
      <c r="AE84" s="47">
        <f t="shared" si="91"/>
      </c>
      <c r="AF84" s="46">
        <f t="shared" si="91"/>
      </c>
      <c r="AG84" s="89">
        <f t="shared" si="91"/>
      </c>
      <c r="AH84" s="153"/>
      <c r="AI84" s="161"/>
      <c r="AJ84" s="162"/>
      <c r="AK84" s="154"/>
      <c r="AL84" s="154"/>
      <c r="AM84" s="214"/>
      <c r="AN84" s="156"/>
      <c r="AP84">
        <v>83</v>
      </c>
      <c r="AQ84" s="62" t="s">
        <v>7</v>
      </c>
      <c r="AR84" s="61"/>
      <c r="AS84" s="61"/>
      <c r="AT84" s="61"/>
      <c r="AU84" s="61"/>
      <c r="AV84" s="61">
        <v>40</v>
      </c>
      <c r="AW84" s="61"/>
      <c r="AX84" s="61"/>
      <c r="AY84" s="61"/>
      <c r="AZ84" s="61"/>
      <c r="BA84" s="61"/>
      <c r="BB84" s="61"/>
      <c r="BC84" s="61"/>
      <c r="BD84" s="61"/>
      <c r="BE84" s="61"/>
      <c r="BF84" s="61"/>
      <c r="BG84" s="61"/>
      <c r="BH84" s="61"/>
      <c r="BI84" s="61"/>
      <c r="BJ84" s="61"/>
      <c r="BK84" s="61"/>
      <c r="BL84" s="61"/>
      <c r="BM84" s="61"/>
      <c r="BN84" s="61"/>
      <c r="BO84" s="61"/>
      <c r="BP84" s="61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61"/>
      <c r="CC84" s="61"/>
      <c r="CD84" s="61"/>
      <c r="CE84" s="61"/>
      <c r="CF84" s="61"/>
      <c r="CG84" s="61"/>
      <c r="CH84" s="61"/>
      <c r="CI84" s="61"/>
      <c r="CJ84" s="61"/>
      <c r="CK84" s="61"/>
      <c r="CL84" s="61"/>
      <c r="CM84" s="61"/>
      <c r="CN84" s="61"/>
      <c r="CO84" s="61"/>
      <c r="CP84" s="61"/>
      <c r="CQ84" s="61"/>
      <c r="CR84" s="61"/>
      <c r="CS84" s="61"/>
      <c r="CT84" s="61"/>
      <c r="CU84" s="61"/>
      <c r="CV84" s="61"/>
      <c r="CW84" s="61"/>
      <c r="CX84" s="61"/>
      <c r="CY84" s="61"/>
      <c r="CZ84" s="61"/>
      <c r="DA84" s="61"/>
      <c r="DB84" s="61"/>
      <c r="DC84" s="61"/>
      <c r="DD84" s="61"/>
      <c r="DE84" s="61">
        <v>40</v>
      </c>
      <c r="DF84" s="61"/>
      <c r="DG84" s="61"/>
      <c r="DH84" s="61"/>
      <c r="DI84" s="61"/>
      <c r="DJ84" s="61"/>
      <c r="DK84" s="61"/>
      <c r="DL84" s="61"/>
      <c r="DM84" s="61"/>
      <c r="DN84" s="61"/>
      <c r="DO84" s="61"/>
      <c r="DP84" s="61"/>
      <c r="DQ84" s="61"/>
      <c r="DR84" s="61"/>
      <c r="DS84" s="61"/>
      <c r="DT84" s="61"/>
      <c r="DU84" s="61"/>
      <c r="DV84" s="61"/>
      <c r="DW84" s="61"/>
      <c r="DX84" s="61"/>
      <c r="DY84" s="61"/>
    </row>
    <row r="85" spans="1:129" ht="31.5" customHeight="1">
      <c r="A85" s="191" t="s">
        <v>33</v>
      </c>
      <c r="B85" s="191"/>
      <c r="C85" s="191"/>
      <c r="D85" s="191"/>
      <c r="E85" s="192"/>
      <c r="F85" s="71" t="s">
        <v>198</v>
      </c>
      <c r="G85" s="80">
        <f>VLOOKUP(завтрак1,таб,29,FALSE)</f>
        <v>0</v>
      </c>
      <c r="H85" s="37">
        <f>VLOOKUP(завтрак2,таб,29,FALSE)</f>
        <v>0</v>
      </c>
      <c r="I85" s="38">
        <f>VLOOKUP(завтрак3,таб,29,FALSE)</f>
        <v>0</v>
      </c>
      <c r="J85" s="37">
        <f>VLOOKUP(завтрак4,таб,29,FALSE)</f>
        <v>0</v>
      </c>
      <c r="K85" s="38">
        <f>VLOOKUP(завтрак5,таб,29,FALSE)</f>
        <v>0</v>
      </c>
      <c r="L85" s="38">
        <f>VLOOKUP(завтрак6,таб,29,FALSE)</f>
        <v>0</v>
      </c>
      <c r="M85" s="28">
        <f>VLOOKUP(завтрак7,таб,29,FALSE)</f>
        <v>0</v>
      </c>
      <c r="N85" s="88">
        <f>VLOOKUP(завтрак8,таб,29,FALSE)</f>
        <v>0</v>
      </c>
      <c r="O85" s="39">
        <f>VLOOKUP(обед1,таб,29,FALSE)</f>
        <v>0</v>
      </c>
      <c r="P85" s="38">
        <f>VLOOKUP(обед2,таб,29,FALSE)</f>
        <v>0</v>
      </c>
      <c r="Q85" s="37">
        <f>VLOOKUP(обед3,таб,29,FALSE)</f>
        <v>0</v>
      </c>
      <c r="R85" s="38">
        <f>VLOOKUP(обед4,таб,29,FALSE)</f>
        <v>0</v>
      </c>
      <c r="S85" s="37">
        <f>VLOOKUP(обед5,таб,29,FALSE)</f>
        <v>0</v>
      </c>
      <c r="T85" s="38">
        <f>VLOOKUP(обед6,таб,29,FALSE)</f>
        <v>0</v>
      </c>
      <c r="U85" s="37">
        <f>VLOOKUP(обед7,таб,29,FALSE)</f>
        <v>0</v>
      </c>
      <c r="V85" s="38">
        <f>VLOOKUP(обед8,таб,29,FALSE)</f>
        <v>0</v>
      </c>
      <c r="W85" s="38">
        <f>VLOOKUP(полдник1,таб,29,FALSE)</f>
        <v>0</v>
      </c>
      <c r="X85" s="38">
        <f>VLOOKUP(полдник2,таб,29,FALSE)</f>
        <v>0</v>
      </c>
      <c r="Y85" s="95">
        <f>VLOOKUP(полдник3,таб,29,FALSE)</f>
        <v>0</v>
      </c>
      <c r="Z85" s="39">
        <f>VLOOKUP(ужин1,таб,29,FALSE)</f>
        <v>0</v>
      </c>
      <c r="AA85" s="37">
        <f>VLOOKUP(ужин2,таб,29,FALSE)</f>
        <v>0</v>
      </c>
      <c r="AB85" s="38">
        <f>VLOOKUP(ужин3,таб,29,FALSE)</f>
        <v>0</v>
      </c>
      <c r="AC85" s="37">
        <f>VLOOKUP(ужин4,таб,29,FALSE)</f>
        <v>0</v>
      </c>
      <c r="AD85" s="38">
        <f>VLOOKUP(ужин5,таб,29,FALSE)</f>
        <v>0</v>
      </c>
      <c r="AE85" s="37">
        <f>VLOOKUP(ужин6,таб,29,FALSE)</f>
        <v>0</v>
      </c>
      <c r="AF85" s="38">
        <f>VLOOKUP(ужин7,таб,29,FALSE)</f>
        <v>0</v>
      </c>
      <c r="AG85" s="95">
        <f>VLOOKUP(ужин8,таб,29,FALSE)</f>
        <v>0</v>
      </c>
      <c r="AH85" s="152">
        <v>613052</v>
      </c>
      <c r="AI85" s="161">
        <f>AK85/сред</f>
        <v>0</v>
      </c>
      <c r="AJ85" s="162"/>
      <c r="AK85" s="154">
        <f>SUM(G86:AG86)</f>
        <v>0</v>
      </c>
      <c r="AL85" s="154"/>
      <c r="AM85" s="213">
        <f>IF(AK85=0,0,BS117)</f>
        <v>0</v>
      </c>
      <c r="AN85" s="155">
        <f>AK85*AM85</f>
        <v>0</v>
      </c>
      <c r="AP85">
        <v>84</v>
      </c>
      <c r="AQ85" s="62" t="s">
        <v>134</v>
      </c>
      <c r="AR85" s="61"/>
      <c r="AS85" s="61"/>
      <c r="AT85" s="61"/>
      <c r="AU85" s="61"/>
      <c r="AV85" s="61"/>
      <c r="AW85" s="61">
        <v>50</v>
      </c>
      <c r="AX85" s="61"/>
      <c r="AY85" s="61"/>
      <c r="AZ85" s="61"/>
      <c r="BA85" s="61"/>
      <c r="BB85" s="61"/>
      <c r="BC85" s="61"/>
      <c r="BD85" s="61"/>
      <c r="BE85" s="61"/>
      <c r="BF85" s="61"/>
      <c r="BG85" s="61"/>
      <c r="BH85" s="61"/>
      <c r="BI85" s="61"/>
      <c r="BJ85" s="61"/>
      <c r="BK85" s="61"/>
      <c r="BL85" s="61"/>
      <c r="BM85" s="61"/>
      <c r="BN85" s="61"/>
      <c r="BO85" s="61"/>
      <c r="BP85" s="61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61"/>
      <c r="CC85" s="61"/>
      <c r="CD85" s="61"/>
      <c r="CE85" s="61"/>
      <c r="CF85" s="61"/>
      <c r="CG85" s="61"/>
      <c r="CH85" s="61"/>
      <c r="CI85" s="61"/>
      <c r="CJ85" s="61"/>
      <c r="CK85" s="61"/>
      <c r="CL85" s="61"/>
      <c r="CM85" s="61"/>
      <c r="CN85" s="61"/>
      <c r="CO85" s="61"/>
      <c r="CP85" s="61"/>
      <c r="CQ85" s="61"/>
      <c r="CR85" s="61"/>
      <c r="CS85" s="61"/>
      <c r="CT85" s="61"/>
      <c r="CU85" s="61"/>
      <c r="CV85" s="61"/>
      <c r="CW85" s="61"/>
      <c r="CX85" s="61"/>
      <c r="CY85" s="61"/>
      <c r="CZ85" s="61"/>
      <c r="DA85" s="61"/>
      <c r="DB85" s="61"/>
      <c r="DC85" s="61"/>
      <c r="DD85" s="61"/>
      <c r="DE85" s="61">
        <v>50</v>
      </c>
      <c r="DF85" s="61"/>
      <c r="DG85" s="61"/>
      <c r="DH85" s="61"/>
      <c r="DI85" s="61"/>
      <c r="DJ85" s="61"/>
      <c r="DK85" s="61"/>
      <c r="DL85" s="61"/>
      <c r="DM85" s="61"/>
      <c r="DN85" s="61"/>
      <c r="DO85" s="61"/>
      <c r="DP85" s="61"/>
      <c r="DQ85" s="61"/>
      <c r="DR85" s="61"/>
      <c r="DS85" s="61"/>
      <c r="DT85" s="61"/>
      <c r="DU85" s="61"/>
      <c r="DV85" s="61"/>
      <c r="DW85" s="61"/>
      <c r="DX85" s="61"/>
      <c r="DY85" s="61"/>
    </row>
    <row r="86" spans="1:129" ht="31.5" customHeight="1">
      <c r="A86" s="195"/>
      <c r="B86" s="195"/>
      <c r="C86" s="195"/>
      <c r="D86" s="195"/>
      <c r="E86" s="196"/>
      <c r="F86" s="66" t="s">
        <v>199</v>
      </c>
      <c r="G86" s="81">
        <f aca="true" t="shared" si="92" ref="G86:N86">IF(G85=0,"",завтракл*G85/1000)</f>
      </c>
      <c r="H86" s="49">
        <f t="shared" si="92"/>
      </c>
      <c r="I86" s="45">
        <f t="shared" si="92"/>
      </c>
      <c r="J86" s="49">
        <f t="shared" si="92"/>
      </c>
      <c r="K86" s="45">
        <f t="shared" si="92"/>
      </c>
      <c r="L86" s="45">
        <f t="shared" si="92"/>
      </c>
      <c r="M86" s="46">
        <f t="shared" si="92"/>
      </c>
      <c r="N86" s="89">
        <f t="shared" si="92"/>
      </c>
      <c r="O86" s="50">
        <f aca="true" t="shared" si="93" ref="O86:T86">IF(O85=0,"",обідл*O85/1000)</f>
      </c>
      <c r="P86" s="45">
        <f t="shared" si="93"/>
      </c>
      <c r="Q86" s="49">
        <f t="shared" si="93"/>
      </c>
      <c r="R86" s="45">
        <f t="shared" si="93"/>
      </c>
      <c r="S86" s="49">
        <f t="shared" si="93"/>
      </c>
      <c r="T86" s="45">
        <f t="shared" si="93"/>
      </c>
      <c r="U86" s="49">
        <f>IF(U85=0,"",обідл*U85/1000)</f>
      </c>
      <c r="V86" s="45">
        <f>IF(V85=0,"",обідл*V85/1000)</f>
      </c>
      <c r="W86" s="45">
        <f>IF(W85=0,"",полдникл*W85/1000)</f>
      </c>
      <c r="X86" s="45">
        <f>IF(X85=0,"",полдникл*X85/1000)</f>
      </c>
      <c r="Y86" s="92">
        <f>IF(Y85=0,"",полдникл*Y85/1000)</f>
      </c>
      <c r="Z86" s="50">
        <f aca="true" t="shared" si="94" ref="Z86:AG86">IF(Z85=0,"",ужинл*Z85/1000)</f>
      </c>
      <c r="AA86" s="49">
        <f t="shared" si="94"/>
      </c>
      <c r="AB86" s="45">
        <f t="shared" si="94"/>
      </c>
      <c r="AC86" s="49">
        <f t="shared" si="94"/>
      </c>
      <c r="AD86" s="45">
        <f t="shared" si="94"/>
      </c>
      <c r="AE86" s="49">
        <f t="shared" si="94"/>
      </c>
      <c r="AF86" s="45">
        <f t="shared" si="94"/>
      </c>
      <c r="AG86" s="92">
        <f t="shared" si="94"/>
      </c>
      <c r="AH86" s="153"/>
      <c r="AI86" s="161"/>
      <c r="AJ86" s="162"/>
      <c r="AK86" s="154"/>
      <c r="AL86" s="154"/>
      <c r="AM86" s="214"/>
      <c r="AN86" s="156"/>
      <c r="AP86">
        <v>85</v>
      </c>
      <c r="AQ86" s="62" t="s">
        <v>249</v>
      </c>
      <c r="AR86" s="61"/>
      <c r="AS86" s="61"/>
      <c r="AT86" s="61"/>
      <c r="AU86" s="61"/>
      <c r="AV86" s="61"/>
      <c r="AW86" s="61"/>
      <c r="AX86" s="61"/>
      <c r="AY86" s="61"/>
      <c r="AZ86" s="61"/>
      <c r="BA86" s="61"/>
      <c r="BB86" s="61"/>
      <c r="BC86" s="61">
        <v>5</v>
      </c>
      <c r="BD86" s="61">
        <v>80</v>
      </c>
      <c r="BE86" s="61"/>
      <c r="BF86" s="61"/>
      <c r="BG86" s="61">
        <v>2</v>
      </c>
      <c r="BH86" s="61"/>
      <c r="BI86" s="61"/>
      <c r="BJ86" s="61">
        <v>0.1</v>
      </c>
      <c r="BK86" s="61"/>
      <c r="BL86" s="61"/>
      <c r="BM86" s="61"/>
      <c r="BN86" s="61"/>
      <c r="BO86" s="61">
        <v>40</v>
      </c>
      <c r="BP86" s="61"/>
      <c r="BQ86" s="61"/>
      <c r="BR86" s="61"/>
      <c r="BS86" s="61"/>
      <c r="BT86" s="61"/>
      <c r="BU86" s="61"/>
      <c r="BV86" s="61"/>
      <c r="BW86" s="61">
        <v>11</v>
      </c>
      <c r="BX86" s="61"/>
      <c r="BY86" s="61"/>
      <c r="BZ86" s="61"/>
      <c r="CA86" s="61"/>
      <c r="CB86" s="61"/>
      <c r="CC86" s="61">
        <v>10</v>
      </c>
      <c r="CD86" s="61"/>
      <c r="CE86" s="61"/>
      <c r="CF86" s="61">
        <v>46</v>
      </c>
      <c r="CG86" s="61"/>
      <c r="CH86" s="61"/>
      <c r="CI86" s="61"/>
      <c r="CJ86" s="61"/>
      <c r="CK86" s="61"/>
      <c r="CL86" s="61"/>
      <c r="CM86" s="61"/>
      <c r="CN86" s="61"/>
      <c r="CO86" s="61"/>
      <c r="CP86" s="61"/>
      <c r="CQ86" s="61"/>
      <c r="CR86" s="61"/>
      <c r="CS86" s="61"/>
      <c r="CT86" s="61"/>
      <c r="CU86" s="61"/>
      <c r="CV86" s="61"/>
      <c r="CW86" s="61"/>
      <c r="CX86" s="61"/>
      <c r="CY86" s="61"/>
      <c r="CZ86" s="61"/>
      <c r="DA86" s="61"/>
      <c r="DB86" s="61"/>
      <c r="DC86" s="61"/>
      <c r="DD86" s="61"/>
      <c r="DE86" s="61">
        <v>200</v>
      </c>
      <c r="DF86" s="61"/>
      <c r="DG86" s="61"/>
      <c r="DH86" s="61"/>
      <c r="DI86" s="61">
        <v>5</v>
      </c>
      <c r="DJ86" s="61"/>
      <c r="DK86" s="61"/>
      <c r="DL86" s="61"/>
      <c r="DM86" s="61"/>
      <c r="DN86" s="61"/>
      <c r="DO86" s="61"/>
      <c r="DP86" s="61"/>
      <c r="DQ86" s="61"/>
      <c r="DR86" s="61"/>
      <c r="DS86" s="61"/>
      <c r="DT86" s="61"/>
      <c r="DU86" s="61"/>
      <c r="DV86" s="61"/>
      <c r="DW86" s="61"/>
      <c r="DX86" s="61"/>
      <c r="DY86" s="61"/>
    </row>
    <row r="87" spans="1:129" ht="31.5" customHeight="1">
      <c r="A87" s="167" t="s">
        <v>329</v>
      </c>
      <c r="B87" s="167"/>
      <c r="C87" s="167"/>
      <c r="D87" s="167"/>
      <c r="E87" s="168"/>
      <c r="F87" s="71" t="s">
        <v>198</v>
      </c>
      <c r="G87" s="78">
        <f>VLOOKUP(завтрак1,таб,30,FALSE)</f>
        <v>0</v>
      </c>
      <c r="H87" s="34">
        <f>VLOOKUP(завтрак2,таб,30,FALSE)</f>
        <v>0</v>
      </c>
      <c r="I87" s="35">
        <f>VLOOKUP(завтрак3,таб,30,FALSE)</f>
        <v>0</v>
      </c>
      <c r="J87" s="34">
        <f>VLOOKUP(завтрак4,таб,30,FALSE)</f>
        <v>0</v>
      </c>
      <c r="K87" s="35">
        <f>VLOOKUP(завтрак5,таб,30,FALSE)</f>
        <v>0</v>
      </c>
      <c r="L87" s="35">
        <f>VLOOKUP(завтрак6,таб,30,FALSE)</f>
        <v>0</v>
      </c>
      <c r="M87" s="28">
        <f>VLOOKUP(завтрак7,таб,30,FALSE)</f>
        <v>0</v>
      </c>
      <c r="N87" s="88">
        <f>VLOOKUP(завтрак8,таб,30,FALSE)</f>
        <v>0</v>
      </c>
      <c r="O87" s="36">
        <f>VLOOKUP(обед1,таб,30,FALSE)</f>
        <v>0</v>
      </c>
      <c r="P87" s="35">
        <f>VLOOKUP(обед2,таб,30,FALSE)</f>
        <v>0</v>
      </c>
      <c r="Q87" s="34">
        <f>VLOOKUP(обед3,таб,30,FALSE)</f>
        <v>0</v>
      </c>
      <c r="R87" s="35">
        <f>VLOOKUP(обед4,таб,30,FALSE)</f>
        <v>0</v>
      </c>
      <c r="S87" s="34">
        <f>VLOOKUP(обед5,таб,30,FALSE)</f>
        <v>0</v>
      </c>
      <c r="T87" s="35">
        <f>VLOOKUP(обед6,таб,30,FALSE)</f>
        <v>0</v>
      </c>
      <c r="U87" s="34">
        <f>VLOOKUP(обед7,таб,30,FALSE)</f>
        <v>0</v>
      </c>
      <c r="V87" s="35">
        <f>VLOOKUP(обед8,таб,30,FALSE)</f>
        <v>0</v>
      </c>
      <c r="W87" s="35">
        <f>VLOOKUP(полдник1,таб,30,FALSE)</f>
        <v>0</v>
      </c>
      <c r="X87" s="35">
        <f>VLOOKUP(полдник2,таб,30,FALSE)</f>
        <v>0</v>
      </c>
      <c r="Y87" s="94">
        <f>VLOOKUP(полдник3,таб,30,FALSE)</f>
        <v>0</v>
      </c>
      <c r="Z87" s="36">
        <f>VLOOKUP(ужин1,таб,30,FALSE)</f>
        <v>0</v>
      </c>
      <c r="AA87" s="34">
        <f>VLOOKUP(ужин2,таб,30,FALSE)</f>
        <v>0</v>
      </c>
      <c r="AB87" s="35">
        <f>VLOOKUP(ужин3,таб,30,FALSE)</f>
        <v>0</v>
      </c>
      <c r="AC87" s="34">
        <f>VLOOKUP(ужин4,таб,30,FALSE)</f>
        <v>0</v>
      </c>
      <c r="AD87" s="35">
        <f>VLOOKUP(ужин5,таб,30,FALSE)</f>
        <v>0</v>
      </c>
      <c r="AE87" s="34">
        <f>VLOOKUP(ужин6,таб,30,FALSE)</f>
        <v>0</v>
      </c>
      <c r="AF87" s="35">
        <f>VLOOKUP(ужин7,таб,30,FALSE)</f>
        <v>0</v>
      </c>
      <c r="AG87" s="94">
        <f>VLOOKUP(ужин8,таб,30,FALSE)</f>
        <v>0</v>
      </c>
      <c r="AH87" s="152">
        <v>613068</v>
      </c>
      <c r="AI87" s="161">
        <f>AK87/сред</f>
        <v>0</v>
      </c>
      <c r="AJ87" s="162"/>
      <c r="AK87" s="154">
        <f>SUM(G88:AG88)</f>
        <v>0</v>
      </c>
      <c r="AL87" s="154"/>
      <c r="AM87" s="213">
        <f>IF(AK87=0,0,BT117)</f>
        <v>0</v>
      </c>
      <c r="AN87" s="155">
        <f>AK87*AM87</f>
        <v>0</v>
      </c>
      <c r="AP87">
        <v>86</v>
      </c>
      <c r="AQ87" s="62" t="s">
        <v>136</v>
      </c>
      <c r="AR87" s="61"/>
      <c r="AS87" s="61"/>
      <c r="AT87" s="61"/>
      <c r="AU87" s="61"/>
      <c r="AV87" s="61"/>
      <c r="AW87" s="61"/>
      <c r="AX87" s="61"/>
      <c r="AY87" s="61"/>
      <c r="AZ87" s="61">
        <v>2</v>
      </c>
      <c r="BA87" s="61"/>
      <c r="BB87" s="61"/>
      <c r="BC87" s="61">
        <v>3</v>
      </c>
      <c r="BD87" s="61"/>
      <c r="BE87" s="61"/>
      <c r="BF87" s="61"/>
      <c r="BG87" s="61">
        <v>20</v>
      </c>
      <c r="BH87" s="61">
        <v>71</v>
      </c>
      <c r="BI87" s="61"/>
      <c r="BJ87" s="61">
        <v>0.1</v>
      </c>
      <c r="BK87" s="61"/>
      <c r="BL87" s="61">
        <v>8</v>
      </c>
      <c r="BM87" s="61"/>
      <c r="BN87" s="61"/>
      <c r="BO87" s="61">
        <v>3</v>
      </c>
      <c r="BP87" s="61"/>
      <c r="BQ87" s="61"/>
      <c r="BR87" s="61"/>
      <c r="BS87" s="61"/>
      <c r="BT87" s="61"/>
      <c r="BU87" s="61"/>
      <c r="BV87" s="61"/>
      <c r="BW87" s="61"/>
      <c r="BX87" s="61"/>
      <c r="BY87" s="61"/>
      <c r="BZ87" s="61"/>
      <c r="CA87" s="61"/>
      <c r="CB87" s="61"/>
      <c r="CC87" s="61"/>
      <c r="CD87" s="61"/>
      <c r="CE87" s="61"/>
      <c r="CF87" s="61"/>
      <c r="CG87" s="61"/>
      <c r="CH87" s="61"/>
      <c r="CI87" s="61"/>
      <c r="CJ87" s="61">
        <v>29</v>
      </c>
      <c r="CK87" s="61"/>
      <c r="CL87" s="61"/>
      <c r="CM87" s="61"/>
      <c r="CN87" s="61"/>
      <c r="CO87" s="61"/>
      <c r="CP87" s="61"/>
      <c r="CQ87" s="61"/>
      <c r="CR87" s="61"/>
      <c r="CS87" s="61"/>
      <c r="CT87" s="61"/>
      <c r="CU87" s="61"/>
      <c r="CV87" s="61"/>
      <c r="CW87" s="61"/>
      <c r="CX87" s="61"/>
      <c r="CY87" s="61"/>
      <c r="CZ87" s="61"/>
      <c r="DA87" s="61"/>
      <c r="DB87" s="61"/>
      <c r="DC87" s="61"/>
      <c r="DD87" s="61"/>
      <c r="DE87" s="105">
        <v>44105</v>
      </c>
      <c r="DF87" s="61"/>
      <c r="DG87" s="61"/>
      <c r="DH87" s="61"/>
      <c r="DI87" s="61"/>
      <c r="DJ87" s="61"/>
      <c r="DK87" s="61"/>
      <c r="DL87" s="61"/>
      <c r="DM87" s="61"/>
      <c r="DN87" s="61"/>
      <c r="DO87" s="61"/>
      <c r="DP87" s="61"/>
      <c r="DQ87" s="61"/>
      <c r="DR87" s="61"/>
      <c r="DS87" s="61"/>
      <c r="DT87" s="61"/>
      <c r="DU87" s="61"/>
      <c r="DV87" s="61"/>
      <c r="DW87" s="61"/>
      <c r="DX87" s="61"/>
      <c r="DY87" s="61"/>
    </row>
    <row r="88" spans="1:129" ht="31.5" customHeight="1">
      <c r="A88" s="167"/>
      <c r="B88" s="167"/>
      <c r="C88" s="167"/>
      <c r="D88" s="167"/>
      <c r="E88" s="168"/>
      <c r="F88" s="66" t="s">
        <v>199</v>
      </c>
      <c r="G88" s="79">
        <f aca="true" t="shared" si="95" ref="G88:N88">IF(G87=0,"",завтракл*G87/1000)</f>
      </c>
      <c r="H88" s="47">
        <f t="shared" si="95"/>
      </c>
      <c r="I88" s="46">
        <f t="shared" si="95"/>
      </c>
      <c r="J88" s="47">
        <f t="shared" si="95"/>
      </c>
      <c r="K88" s="46">
        <f t="shared" si="95"/>
      </c>
      <c r="L88" s="46">
        <f t="shared" si="95"/>
      </c>
      <c r="M88" s="46">
        <f t="shared" si="95"/>
      </c>
      <c r="N88" s="89">
        <f t="shared" si="95"/>
      </c>
      <c r="O88" s="48">
        <f aca="true" t="shared" si="96" ref="O88:T88">IF(O87=0,"",обідл*O87/1000)</f>
      </c>
      <c r="P88" s="46">
        <f t="shared" si="96"/>
      </c>
      <c r="Q88" s="47">
        <f t="shared" si="96"/>
      </c>
      <c r="R88" s="46">
        <f t="shared" si="96"/>
      </c>
      <c r="S88" s="47">
        <f t="shared" si="96"/>
      </c>
      <c r="T88" s="46">
        <f t="shared" si="96"/>
      </c>
      <c r="U88" s="47">
        <f>IF(U87=0,"",обідл*U87/1000)</f>
      </c>
      <c r="V88" s="46">
        <f>IF(V87=0,"",обідл*V87/1000)</f>
      </c>
      <c r="W88" s="46">
        <f>IF(W87=0,"",полдникл*W87/1000)</f>
      </c>
      <c r="X88" s="46">
        <f>IF(X87=0,"",полдникл*X87/1000)</f>
      </c>
      <c r="Y88" s="89">
        <f>IF(Y87=0,"",полдникл*Y87/1000)</f>
      </c>
      <c r="Z88" s="48">
        <f aca="true" t="shared" si="97" ref="Z88:AG88">IF(Z87=0,"",ужинл*Z87/1000)</f>
      </c>
      <c r="AA88" s="47">
        <f t="shared" si="97"/>
      </c>
      <c r="AB88" s="46">
        <f t="shared" si="97"/>
      </c>
      <c r="AC88" s="47">
        <f t="shared" si="97"/>
      </c>
      <c r="AD88" s="46">
        <f t="shared" si="97"/>
      </c>
      <c r="AE88" s="47">
        <f t="shared" si="97"/>
      </c>
      <c r="AF88" s="46">
        <f t="shared" si="97"/>
      </c>
      <c r="AG88" s="89">
        <f t="shared" si="97"/>
      </c>
      <c r="AH88" s="153"/>
      <c r="AI88" s="161"/>
      <c r="AJ88" s="162"/>
      <c r="AK88" s="154"/>
      <c r="AL88" s="154"/>
      <c r="AM88" s="214"/>
      <c r="AN88" s="156"/>
      <c r="AP88">
        <v>87</v>
      </c>
      <c r="AQ88" s="62" t="s">
        <v>165</v>
      </c>
      <c r="AR88" s="61"/>
      <c r="AS88" s="61"/>
      <c r="AT88" s="61"/>
      <c r="AU88" s="61"/>
      <c r="AV88" s="61"/>
      <c r="AW88" s="61"/>
      <c r="AX88" s="61"/>
      <c r="AY88" s="61"/>
      <c r="AZ88" s="61">
        <v>10</v>
      </c>
      <c r="BA88" s="61"/>
      <c r="BB88" s="61"/>
      <c r="BC88" s="61"/>
      <c r="BD88" s="61"/>
      <c r="BE88" s="61"/>
      <c r="BF88" s="61"/>
      <c r="BG88" s="61">
        <v>20</v>
      </c>
      <c r="BH88" s="61">
        <v>139</v>
      </c>
      <c r="BI88" s="61"/>
      <c r="BJ88" s="61">
        <v>0.1</v>
      </c>
      <c r="BK88" s="61"/>
      <c r="BL88" s="61">
        <v>53</v>
      </c>
      <c r="BM88" s="61"/>
      <c r="BN88" s="61"/>
      <c r="BO88" s="61"/>
      <c r="BP88" s="61"/>
      <c r="BQ88" s="61"/>
      <c r="BR88" s="61"/>
      <c r="BS88" s="61"/>
      <c r="BT88" s="61"/>
      <c r="BU88" s="61"/>
      <c r="BV88" s="61"/>
      <c r="BW88" s="61">
        <v>10</v>
      </c>
      <c r="BX88" s="61"/>
      <c r="BY88" s="61"/>
      <c r="BZ88" s="61"/>
      <c r="CA88" s="61"/>
      <c r="CB88" s="61"/>
      <c r="CC88" s="61"/>
      <c r="CD88" s="61"/>
      <c r="CE88" s="61"/>
      <c r="CF88" s="61"/>
      <c r="CG88" s="61"/>
      <c r="CH88" s="61"/>
      <c r="CI88" s="61"/>
      <c r="CJ88" s="61"/>
      <c r="CK88" s="61"/>
      <c r="CL88" s="61"/>
      <c r="CM88" s="61"/>
      <c r="CN88" s="61"/>
      <c r="CO88" s="61"/>
      <c r="CP88" s="61"/>
      <c r="CQ88" s="61"/>
      <c r="CR88" s="61"/>
      <c r="CS88" s="61"/>
      <c r="CT88" s="61"/>
      <c r="CU88" s="61"/>
      <c r="CV88" s="61"/>
      <c r="CW88" s="61"/>
      <c r="CX88" s="61"/>
      <c r="CY88" s="61"/>
      <c r="CZ88" s="61"/>
      <c r="DA88" s="61"/>
      <c r="DB88" s="61"/>
      <c r="DC88" s="61"/>
      <c r="DD88" s="61"/>
      <c r="DE88" s="61" t="s">
        <v>299</v>
      </c>
      <c r="DF88" s="61"/>
      <c r="DG88" s="61"/>
      <c r="DH88" s="61"/>
      <c r="DI88" s="61"/>
      <c r="DJ88" s="61"/>
      <c r="DK88" s="61"/>
      <c r="DL88" s="61"/>
      <c r="DM88" s="61"/>
      <c r="DN88" s="61"/>
      <c r="DO88" s="61"/>
      <c r="DP88" s="61"/>
      <c r="DQ88" s="61"/>
      <c r="DR88" s="61"/>
      <c r="DS88" s="61"/>
      <c r="DT88" s="61"/>
      <c r="DU88" s="61"/>
      <c r="DV88" s="61"/>
      <c r="DW88" s="61"/>
      <c r="DX88" s="61"/>
      <c r="DY88" s="61"/>
    </row>
    <row r="89" spans="1:129" ht="30.75" customHeight="1">
      <c r="A89" s="211">
        <v>1</v>
      </c>
      <c r="B89" s="211"/>
      <c r="C89" s="211"/>
      <c r="D89" s="211"/>
      <c r="E89" s="212"/>
      <c r="F89" s="253">
        <v>2</v>
      </c>
      <c r="G89" s="295">
        <v>3</v>
      </c>
      <c r="H89" s="241">
        <v>4</v>
      </c>
      <c r="I89" s="241">
        <v>5</v>
      </c>
      <c r="J89" s="241">
        <v>6</v>
      </c>
      <c r="K89" s="241">
        <v>7</v>
      </c>
      <c r="L89" s="241">
        <v>8</v>
      </c>
      <c r="M89" s="241">
        <v>9</v>
      </c>
      <c r="N89" s="272">
        <v>10</v>
      </c>
      <c r="O89" s="255">
        <v>11</v>
      </c>
      <c r="P89" s="241">
        <v>12</v>
      </c>
      <c r="Q89" s="241">
        <v>13</v>
      </c>
      <c r="R89" s="241">
        <v>14</v>
      </c>
      <c r="S89" s="241">
        <v>15</v>
      </c>
      <c r="T89" s="241">
        <v>16</v>
      </c>
      <c r="U89" s="241">
        <v>17</v>
      </c>
      <c r="V89" s="241">
        <v>18</v>
      </c>
      <c r="W89" s="241">
        <v>19</v>
      </c>
      <c r="X89" s="241">
        <v>20</v>
      </c>
      <c r="Y89" s="272">
        <v>21</v>
      </c>
      <c r="Z89" s="255">
        <v>22</v>
      </c>
      <c r="AA89" s="241">
        <v>23</v>
      </c>
      <c r="AB89" s="241">
        <v>24</v>
      </c>
      <c r="AC89" s="241">
        <v>25</v>
      </c>
      <c r="AD89" s="241">
        <v>26</v>
      </c>
      <c r="AE89" s="241">
        <v>27</v>
      </c>
      <c r="AF89" s="241">
        <v>28</v>
      </c>
      <c r="AG89" s="272">
        <v>29</v>
      </c>
      <c r="AH89" s="152"/>
      <c r="AI89" s="161"/>
      <c r="AJ89" s="162"/>
      <c r="AK89" s="154"/>
      <c r="AL89" s="154"/>
      <c r="AM89" s="213"/>
      <c r="AN89" s="155"/>
      <c r="AP89">
        <v>88</v>
      </c>
      <c r="AQ89" s="62" t="s">
        <v>137</v>
      </c>
      <c r="AR89" s="61"/>
      <c r="AS89" s="61"/>
      <c r="AT89" s="61"/>
      <c r="AU89" s="61"/>
      <c r="AV89" s="61"/>
      <c r="AW89" s="61"/>
      <c r="AX89" s="61"/>
      <c r="AY89" s="61"/>
      <c r="AZ89" s="61">
        <v>7.5</v>
      </c>
      <c r="BA89" s="61"/>
      <c r="BB89" s="61"/>
      <c r="BC89" s="61"/>
      <c r="BD89" s="61"/>
      <c r="BE89" s="61"/>
      <c r="BF89" s="61"/>
      <c r="BG89" s="61"/>
      <c r="BH89" s="61"/>
      <c r="BI89" s="61">
        <v>16.5</v>
      </c>
      <c r="BJ89" s="61"/>
      <c r="BK89" s="61"/>
      <c r="BL89" s="61"/>
      <c r="BM89" s="61"/>
      <c r="BN89" s="61"/>
      <c r="BO89" s="61"/>
      <c r="BP89" s="61"/>
      <c r="BQ89" s="61"/>
      <c r="BR89" s="61"/>
      <c r="BS89" s="61">
        <v>52.5</v>
      </c>
      <c r="BT89" s="61"/>
      <c r="BU89" s="61"/>
      <c r="BV89" s="61"/>
      <c r="BW89" s="61"/>
      <c r="BX89" s="61"/>
      <c r="BY89" s="61"/>
      <c r="BZ89" s="61"/>
      <c r="CA89" s="61"/>
      <c r="CB89" s="61"/>
      <c r="CC89" s="61"/>
      <c r="CD89" s="61"/>
      <c r="CE89" s="61"/>
      <c r="CF89" s="61"/>
      <c r="CG89" s="61"/>
      <c r="CH89" s="61"/>
      <c r="CI89" s="61"/>
      <c r="CJ89" s="61"/>
      <c r="CK89" s="61"/>
      <c r="CL89" s="61"/>
      <c r="CM89" s="61"/>
      <c r="CN89" s="61"/>
      <c r="CO89" s="61"/>
      <c r="CP89" s="61"/>
      <c r="CQ89" s="61"/>
      <c r="CR89" s="61"/>
      <c r="CS89" s="61"/>
      <c r="CT89" s="61"/>
      <c r="CU89" s="61"/>
      <c r="CV89" s="61"/>
      <c r="CW89" s="61"/>
      <c r="CX89" s="61"/>
      <c r="CY89" s="61"/>
      <c r="CZ89" s="61"/>
      <c r="DA89" s="61"/>
      <c r="DB89" s="61"/>
      <c r="DC89" s="61"/>
      <c r="DD89" s="61"/>
      <c r="DE89" s="61">
        <v>172</v>
      </c>
      <c r="DF89" s="61"/>
      <c r="DG89" s="61"/>
      <c r="DH89" s="61"/>
      <c r="DI89" s="61"/>
      <c r="DJ89" s="61"/>
      <c r="DK89" s="61"/>
      <c r="DL89" s="61"/>
      <c r="DM89" s="61"/>
      <c r="DN89" s="61"/>
      <c r="DO89" s="61"/>
      <c r="DP89" s="61"/>
      <c r="DQ89" s="61"/>
      <c r="DR89" s="61"/>
      <c r="DS89" s="61"/>
      <c r="DT89" s="61"/>
      <c r="DU89" s="61"/>
      <c r="DV89" s="61"/>
      <c r="DW89" s="61"/>
      <c r="DX89" s="61"/>
      <c r="DY89" s="61"/>
    </row>
    <row r="90" spans="1:129" ht="30.75" customHeight="1">
      <c r="A90" s="211"/>
      <c r="B90" s="211"/>
      <c r="C90" s="211"/>
      <c r="D90" s="211"/>
      <c r="E90" s="212"/>
      <c r="F90" s="259"/>
      <c r="G90" s="296"/>
      <c r="H90" s="242"/>
      <c r="I90" s="242"/>
      <c r="J90" s="242"/>
      <c r="K90" s="242"/>
      <c r="L90" s="242"/>
      <c r="M90" s="242"/>
      <c r="N90" s="273"/>
      <c r="O90" s="261"/>
      <c r="P90" s="242"/>
      <c r="Q90" s="242"/>
      <c r="R90" s="242"/>
      <c r="S90" s="242"/>
      <c r="T90" s="242"/>
      <c r="U90" s="242"/>
      <c r="V90" s="242"/>
      <c r="W90" s="242"/>
      <c r="X90" s="242"/>
      <c r="Y90" s="273"/>
      <c r="Z90" s="261"/>
      <c r="AA90" s="242"/>
      <c r="AB90" s="242"/>
      <c r="AC90" s="242"/>
      <c r="AD90" s="242"/>
      <c r="AE90" s="242"/>
      <c r="AF90" s="242"/>
      <c r="AG90" s="273"/>
      <c r="AH90" s="153"/>
      <c r="AI90" s="161"/>
      <c r="AJ90" s="162"/>
      <c r="AK90" s="154"/>
      <c r="AL90" s="154"/>
      <c r="AM90" s="214"/>
      <c r="AN90" s="156"/>
      <c r="AP90">
        <v>89</v>
      </c>
      <c r="AQ90" s="62" t="s">
        <v>138</v>
      </c>
      <c r="AR90" s="61"/>
      <c r="AS90" s="61"/>
      <c r="AT90" s="61"/>
      <c r="AU90" s="61"/>
      <c r="AV90" s="61"/>
      <c r="AW90" s="61"/>
      <c r="AX90" s="61"/>
      <c r="AY90" s="61"/>
      <c r="AZ90" s="61">
        <v>7.5</v>
      </c>
      <c r="BA90" s="61"/>
      <c r="BB90" s="61"/>
      <c r="BC90" s="61"/>
      <c r="BD90" s="61"/>
      <c r="BE90" s="61"/>
      <c r="BF90" s="61"/>
      <c r="BG90" s="61"/>
      <c r="BH90" s="61"/>
      <c r="BI90" s="61"/>
      <c r="BJ90" s="61"/>
      <c r="BK90" s="61"/>
      <c r="BL90" s="61"/>
      <c r="BM90" s="61"/>
      <c r="BN90" s="61"/>
      <c r="BO90" s="61"/>
      <c r="BP90" s="61"/>
      <c r="BQ90" s="61"/>
      <c r="BR90" s="61"/>
      <c r="BS90" s="61">
        <v>52.5</v>
      </c>
      <c r="BT90" s="61"/>
      <c r="BU90" s="61"/>
      <c r="BV90" s="61"/>
      <c r="BW90" s="61"/>
      <c r="BX90" s="61"/>
      <c r="BY90" s="61"/>
      <c r="BZ90" s="61"/>
      <c r="CA90" s="61"/>
      <c r="CB90" s="61"/>
      <c r="CC90" s="61"/>
      <c r="CD90" s="61"/>
      <c r="CE90" s="61"/>
      <c r="CF90" s="61"/>
      <c r="CG90" s="61"/>
      <c r="CH90" s="61"/>
      <c r="CI90" s="61"/>
      <c r="CJ90" s="61"/>
      <c r="CK90" s="61"/>
      <c r="CL90" s="61"/>
      <c r="CM90" s="61"/>
      <c r="CN90" s="61"/>
      <c r="CO90" s="61"/>
      <c r="CP90" s="61"/>
      <c r="CQ90" s="61"/>
      <c r="CR90" s="61"/>
      <c r="CS90" s="61"/>
      <c r="CT90" s="61"/>
      <c r="CU90" s="61"/>
      <c r="CV90" s="61"/>
      <c r="CW90" s="61"/>
      <c r="CX90" s="61"/>
      <c r="CY90" s="61"/>
      <c r="CZ90" s="61"/>
      <c r="DA90" s="61"/>
      <c r="DB90" s="61"/>
      <c r="DC90" s="61"/>
      <c r="DD90" s="61"/>
      <c r="DE90" s="61">
        <v>150</v>
      </c>
      <c r="DF90" s="61"/>
      <c r="DG90" s="61"/>
      <c r="DH90" s="61"/>
      <c r="DI90" s="61"/>
      <c r="DJ90" s="61"/>
      <c r="DK90" s="61"/>
      <c r="DL90" s="61"/>
      <c r="DM90" s="61"/>
      <c r="DN90" s="61"/>
      <c r="DO90" s="61"/>
      <c r="DP90" s="61"/>
      <c r="DQ90" s="61"/>
      <c r="DR90" s="61"/>
      <c r="DS90" s="61"/>
      <c r="DT90" s="61"/>
      <c r="DU90" s="61"/>
      <c r="DV90" s="61"/>
      <c r="DW90" s="61"/>
      <c r="DX90" s="61"/>
      <c r="DY90" s="61"/>
    </row>
    <row r="91" spans="1:129" ht="30.75" customHeight="1">
      <c r="A91" s="191" t="s">
        <v>0</v>
      </c>
      <c r="B91" s="191"/>
      <c r="C91" s="191"/>
      <c r="D91" s="191"/>
      <c r="E91" s="192"/>
      <c r="F91" s="71" t="s">
        <v>198</v>
      </c>
      <c r="G91" s="80">
        <f>VLOOKUP(завтрак1,таб,31,FALSE)</f>
        <v>0</v>
      </c>
      <c r="H91" s="37">
        <f>VLOOKUP(завтрак2,таб,31,FALSE)</f>
        <v>0</v>
      </c>
      <c r="I91" s="38">
        <f>VLOOKUP(завтрак3,таб,31,FALSE)</f>
        <v>0</v>
      </c>
      <c r="J91" s="37">
        <f>VLOOKUP(завтрак4,таб,31,FALSE)</f>
        <v>0</v>
      </c>
      <c r="K91" s="38">
        <f>VLOOKUP(завтрак5,таб,31,FALSE)</f>
        <v>0</v>
      </c>
      <c r="L91" s="38">
        <f>VLOOKUP(завтрак6,таб,31,FALSE)</f>
        <v>0</v>
      </c>
      <c r="M91" s="28">
        <f>VLOOKUP(завтрак7,таб,31,FALSE)</f>
        <v>0</v>
      </c>
      <c r="N91" s="88">
        <f>VLOOKUP(завтрак8,таб,31,FALSE)</f>
        <v>0</v>
      </c>
      <c r="O91" s="39">
        <f>VLOOKUP(обед1,таб,31,FALSE)</f>
        <v>0</v>
      </c>
      <c r="P91" s="38">
        <f>VLOOKUP(обед2,таб,31,FALSE)</f>
        <v>0</v>
      </c>
      <c r="Q91" s="37">
        <f>VLOOKUP(обед3,таб,31,FALSE)</f>
        <v>0</v>
      </c>
      <c r="R91" s="38">
        <f>VLOOKUP(обед4,таб,31,FALSE)</f>
        <v>0</v>
      </c>
      <c r="S91" s="37">
        <f>VLOOKUP(обед5,таб,31,FALSE)</f>
        <v>0</v>
      </c>
      <c r="T91" s="38">
        <f>VLOOKUP(обед6,таб,31,FALSE)</f>
        <v>0</v>
      </c>
      <c r="U91" s="37">
        <f>VLOOKUP(обед7,таб,31,FALSE)</f>
        <v>0</v>
      </c>
      <c r="V91" s="38">
        <f>VLOOKUP(обед8,таб,31,FALSE)</f>
        <v>0</v>
      </c>
      <c r="W91" s="38">
        <f>VLOOKUP(полдник1,таб,31,FALSE)</f>
        <v>0</v>
      </c>
      <c r="X91" s="38">
        <f>VLOOKUP(полдник2,таб,31,FALSE)</f>
        <v>0</v>
      </c>
      <c r="Y91" s="95">
        <f>VLOOKUP(полдник3,таб,31,FALSE)</f>
        <v>0</v>
      </c>
      <c r="Z91" s="39">
        <f>VLOOKUP(ужин1,таб,31,FALSE)</f>
        <v>0</v>
      </c>
      <c r="AA91" s="37">
        <f>VLOOKUP(ужин2,таб,31,FALSE)</f>
        <v>0</v>
      </c>
      <c r="AB91" s="38">
        <f>VLOOKUP(ужин3,таб,31,FALSE)</f>
        <v>0</v>
      </c>
      <c r="AC91" s="37">
        <f>VLOOKUP(ужин4,таб,31,FALSE)</f>
        <v>0</v>
      </c>
      <c r="AD91" s="38">
        <f>VLOOKUP(ужин5,таб,31,FALSE)</f>
        <v>0</v>
      </c>
      <c r="AE91" s="37">
        <f>VLOOKUP(ужин6,таб,31,FALSE)</f>
        <v>0</v>
      </c>
      <c r="AF91" s="38">
        <f>VLOOKUP(ужин7,таб,31,FALSE)</f>
        <v>0</v>
      </c>
      <c r="AG91" s="95">
        <f>VLOOKUP(ужин8,таб,31,FALSE)</f>
        <v>0</v>
      </c>
      <c r="AH91" s="152">
        <v>613072</v>
      </c>
      <c r="AI91" s="215">
        <f>AK91/сред</f>
        <v>0</v>
      </c>
      <c r="AJ91" s="216"/>
      <c r="AK91" s="156">
        <f>SUM(G92:AG92)</f>
        <v>0</v>
      </c>
      <c r="AL91" s="156"/>
      <c r="AM91" s="213">
        <f>IF(AK91=0,0,BU117)</f>
        <v>0</v>
      </c>
      <c r="AN91" s="155">
        <f>AK91*AM91</f>
        <v>0</v>
      </c>
      <c r="AP91">
        <v>90</v>
      </c>
      <c r="AQ91" s="62" t="s">
        <v>250</v>
      </c>
      <c r="AR91" s="61"/>
      <c r="AS91" s="61"/>
      <c r="AT91" s="61"/>
      <c r="AU91" s="61"/>
      <c r="AV91" s="61"/>
      <c r="AW91" s="61"/>
      <c r="AX91" s="61"/>
      <c r="AY91" s="61"/>
      <c r="AZ91" s="61"/>
      <c r="BA91" s="61"/>
      <c r="BB91" s="61"/>
      <c r="BC91" s="61">
        <v>3</v>
      </c>
      <c r="BD91" s="61"/>
      <c r="BE91" s="61"/>
      <c r="BF91" s="61"/>
      <c r="BG91" s="61">
        <v>10.5</v>
      </c>
      <c r="BH91" s="61">
        <v>51</v>
      </c>
      <c r="BI91" s="61"/>
      <c r="BJ91" s="61"/>
      <c r="BK91" s="61"/>
      <c r="BL91" s="61"/>
      <c r="BM91" s="61"/>
      <c r="BN91" s="61"/>
      <c r="BO91" s="61"/>
      <c r="BP91" s="61"/>
      <c r="BQ91" s="61"/>
      <c r="BR91" s="61"/>
      <c r="BS91" s="61"/>
      <c r="BT91" s="61"/>
      <c r="BU91" s="61"/>
      <c r="BV91" s="61"/>
      <c r="BW91" s="61">
        <v>6</v>
      </c>
      <c r="BX91" s="61"/>
      <c r="BY91" s="61"/>
      <c r="BZ91" s="61"/>
      <c r="CA91" s="61"/>
      <c r="CB91" s="61"/>
      <c r="CC91" s="61">
        <v>10</v>
      </c>
      <c r="CD91" s="61"/>
      <c r="CE91" s="61"/>
      <c r="CF91" s="61"/>
      <c r="CG91" s="61"/>
      <c r="CH91" s="61"/>
      <c r="CI91" s="61"/>
      <c r="CJ91" s="61"/>
      <c r="CK91" s="61"/>
      <c r="CL91" s="61"/>
      <c r="CM91" s="61"/>
      <c r="CN91" s="61"/>
      <c r="CO91" s="61"/>
      <c r="CP91" s="61"/>
      <c r="CQ91" s="61"/>
      <c r="CR91" s="61"/>
      <c r="CS91" s="61"/>
      <c r="CT91" s="61"/>
      <c r="CU91" s="61"/>
      <c r="CV91" s="61"/>
      <c r="CW91" s="61"/>
      <c r="CX91" s="61"/>
      <c r="CY91" s="61"/>
      <c r="CZ91" s="61"/>
      <c r="DA91" s="61"/>
      <c r="DB91" s="61"/>
      <c r="DC91" s="61"/>
      <c r="DD91" s="61"/>
      <c r="DE91" s="61">
        <v>180</v>
      </c>
      <c r="DF91" s="61"/>
      <c r="DG91" s="61"/>
      <c r="DH91" s="61"/>
      <c r="DI91" s="61">
        <v>3</v>
      </c>
      <c r="DJ91" s="61"/>
      <c r="DK91" s="61"/>
      <c r="DL91" s="61">
        <v>37.5</v>
      </c>
      <c r="DM91" s="61"/>
      <c r="DN91" s="61"/>
      <c r="DO91" s="61"/>
      <c r="DP91" s="61"/>
      <c r="DQ91" s="61"/>
      <c r="DR91" s="61"/>
      <c r="DS91" s="61"/>
      <c r="DT91" s="61"/>
      <c r="DU91" s="61"/>
      <c r="DV91" s="61"/>
      <c r="DW91" s="61"/>
      <c r="DX91" s="61"/>
      <c r="DY91" s="61"/>
    </row>
    <row r="92" spans="1:129" ht="30.75" customHeight="1">
      <c r="A92" s="195"/>
      <c r="B92" s="195"/>
      <c r="C92" s="195"/>
      <c r="D92" s="195"/>
      <c r="E92" s="196"/>
      <c r="F92" s="66" t="s">
        <v>199</v>
      </c>
      <c r="G92" s="81">
        <f aca="true" t="shared" si="98" ref="G92:N92">IF(G91=0,"",завтракл*G91/1000)</f>
      </c>
      <c r="H92" s="49">
        <f t="shared" si="98"/>
      </c>
      <c r="I92" s="45">
        <f t="shared" si="98"/>
      </c>
      <c r="J92" s="49">
        <f t="shared" si="98"/>
      </c>
      <c r="K92" s="45">
        <f t="shared" si="98"/>
      </c>
      <c r="L92" s="45">
        <f t="shared" si="98"/>
      </c>
      <c r="M92" s="46">
        <f t="shared" si="98"/>
      </c>
      <c r="N92" s="89">
        <f t="shared" si="98"/>
      </c>
      <c r="O92" s="50">
        <f aca="true" t="shared" si="99" ref="O92:V92">IF(O91=0,"",обідл*O91/1000)</f>
      </c>
      <c r="P92" s="45">
        <f t="shared" si="99"/>
      </c>
      <c r="Q92" s="49">
        <f t="shared" si="99"/>
      </c>
      <c r="R92" s="45">
        <f t="shared" si="99"/>
      </c>
      <c r="S92" s="49">
        <f t="shared" si="99"/>
      </c>
      <c r="T92" s="45">
        <f t="shared" si="99"/>
      </c>
      <c r="U92" s="49">
        <f t="shared" si="99"/>
      </c>
      <c r="V92" s="45">
        <f t="shared" si="99"/>
      </c>
      <c r="W92" s="45">
        <f>IF(W91=0,"",полдникл*W91/1000)</f>
      </c>
      <c r="X92" s="45">
        <f>IF(X91=0,"",полдникл*X91/1000)</f>
      </c>
      <c r="Y92" s="92">
        <f>IF(Y91=0,"",полдникл*Y91/1000)</f>
      </c>
      <c r="Z92" s="50">
        <f aca="true" t="shared" si="100" ref="Z92:AG92">IF(Z91=0,"",ужинл*Z91/1000)</f>
      </c>
      <c r="AA92" s="49">
        <f t="shared" si="100"/>
      </c>
      <c r="AB92" s="45">
        <f t="shared" si="100"/>
      </c>
      <c r="AC92" s="49">
        <f t="shared" si="100"/>
      </c>
      <c r="AD92" s="45">
        <f t="shared" si="100"/>
      </c>
      <c r="AE92" s="49">
        <f t="shared" si="100"/>
      </c>
      <c r="AF92" s="45">
        <f t="shared" si="100"/>
      </c>
      <c r="AG92" s="92">
        <f t="shared" si="100"/>
      </c>
      <c r="AH92" s="153"/>
      <c r="AI92" s="161"/>
      <c r="AJ92" s="162"/>
      <c r="AK92" s="154"/>
      <c r="AL92" s="154"/>
      <c r="AM92" s="214"/>
      <c r="AN92" s="156"/>
      <c r="AP92">
        <v>91</v>
      </c>
      <c r="AQ92" s="62" t="s">
        <v>241</v>
      </c>
      <c r="AR92" s="61"/>
      <c r="AS92" s="61"/>
      <c r="AT92" s="61"/>
      <c r="AU92" s="61"/>
      <c r="AV92" s="61"/>
      <c r="AW92" s="61"/>
      <c r="AX92" s="61"/>
      <c r="AY92" s="61"/>
      <c r="AZ92" s="61"/>
      <c r="BA92" s="61"/>
      <c r="BB92" s="61"/>
      <c r="BC92" s="61">
        <v>5</v>
      </c>
      <c r="BD92" s="61">
        <v>57</v>
      </c>
      <c r="BE92" s="61"/>
      <c r="BF92" s="61"/>
      <c r="BG92" s="61">
        <v>20</v>
      </c>
      <c r="BH92" s="61"/>
      <c r="BI92" s="61"/>
      <c r="BJ92" s="61">
        <v>0.1</v>
      </c>
      <c r="BK92" s="61"/>
      <c r="BL92" s="61">
        <v>57</v>
      </c>
      <c r="BM92" s="61"/>
      <c r="BN92" s="61"/>
      <c r="BO92" s="61"/>
      <c r="BP92" s="61"/>
      <c r="BQ92" s="61"/>
      <c r="BR92" s="61"/>
      <c r="BS92" s="61"/>
      <c r="BT92" s="61"/>
      <c r="BU92" s="61"/>
      <c r="BV92" s="61"/>
      <c r="BW92" s="61">
        <v>4</v>
      </c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1"/>
      <c r="CJ92" s="61"/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61"/>
      <c r="CY92" s="61"/>
      <c r="CZ92" s="61">
        <v>1</v>
      </c>
      <c r="DA92" s="61"/>
      <c r="DB92" s="61"/>
      <c r="DC92" s="61"/>
      <c r="DD92" s="61"/>
      <c r="DE92" s="61" t="s">
        <v>293</v>
      </c>
      <c r="DF92" s="61"/>
      <c r="DG92" s="61"/>
      <c r="DH92" s="61"/>
      <c r="DI92" s="61"/>
      <c r="DJ92" s="61"/>
      <c r="DK92" s="61"/>
      <c r="DL92" s="61"/>
      <c r="DM92" s="61"/>
      <c r="DN92" s="61"/>
      <c r="DO92" s="61"/>
      <c r="DP92" s="61"/>
      <c r="DQ92" s="61"/>
      <c r="DR92" s="61"/>
      <c r="DS92" s="61"/>
      <c r="DT92" s="61"/>
      <c r="DU92" s="61"/>
      <c r="DV92" s="61"/>
      <c r="DW92" s="61"/>
      <c r="DX92" s="61"/>
      <c r="DY92" s="61"/>
    </row>
    <row r="93" spans="1:129" ht="30.75" customHeight="1">
      <c r="A93" s="167" t="s">
        <v>350</v>
      </c>
      <c r="B93" s="167"/>
      <c r="C93" s="167"/>
      <c r="D93" s="167"/>
      <c r="E93" s="168"/>
      <c r="F93" s="71" t="s">
        <v>198</v>
      </c>
      <c r="G93" s="78">
        <f>VLOOKUP(завтрак1,таб,69,FALSE)</f>
        <v>0</v>
      </c>
      <c r="H93" s="34">
        <f>VLOOKUP(завтрак2,таб,69,FALSE)</f>
        <v>0</v>
      </c>
      <c r="I93" s="35">
        <f>VLOOKUP(завтрак3,таб,69,FALSE)</f>
        <v>0</v>
      </c>
      <c r="J93" s="34">
        <f>VLOOKUP(завтрак4,таб,69,FALSE)</f>
        <v>0</v>
      </c>
      <c r="K93" s="35">
        <f>VLOOKUP(завтрак5,таб,69,FALSE)</f>
        <v>0</v>
      </c>
      <c r="L93" s="35">
        <f>VLOOKUP(завтрак6,таб,69,FALSE)</f>
        <v>0</v>
      </c>
      <c r="M93" s="28">
        <f>VLOOKUP(завтрак7,таб,69,FALSE)</f>
        <v>0</v>
      </c>
      <c r="N93" s="88">
        <f>VLOOKUP(завтрак8,таб,69,FALSE)</f>
        <v>0</v>
      </c>
      <c r="O93" s="36">
        <f>VLOOKUP(обед1,таб,69,FALSE)</f>
        <v>0</v>
      </c>
      <c r="P93" s="35">
        <f>VLOOKUP(обед2,таб,69,FALSE)</f>
        <v>0</v>
      </c>
      <c r="Q93" s="34">
        <f>VLOOKUP(обед3,таб,69,FALSE)</f>
        <v>0</v>
      </c>
      <c r="R93" s="35">
        <f>VLOOKUP(обед4,таб,69,FALSE)</f>
        <v>0</v>
      </c>
      <c r="S93" s="34">
        <f>VLOOKUP(обед5,таб,69,FALSE)</f>
        <v>0</v>
      </c>
      <c r="T93" s="35">
        <f>VLOOKUP(обед6,таб,69,FALSE)</f>
        <v>0</v>
      </c>
      <c r="U93" s="34">
        <f>VLOOKUP(обед7,таб,69,FALSE)</f>
        <v>0</v>
      </c>
      <c r="V93" s="35">
        <f>VLOOKUP(обед8,таб,69,FALSE)</f>
        <v>0</v>
      </c>
      <c r="W93" s="35">
        <f>VLOOKUP(полдник1,таб,69,FALSE)</f>
        <v>0</v>
      </c>
      <c r="X93" s="35">
        <f>VLOOKUP(полдник2,таб,69,FALSE)</f>
        <v>0</v>
      </c>
      <c r="Y93" s="94">
        <f>VLOOKUP(полдник3,таб,69,FALSE)</f>
        <v>0</v>
      </c>
      <c r="Z93" s="36">
        <f>VLOOKUP(ужин1,таб,69,FALSE)</f>
        <v>0</v>
      </c>
      <c r="AA93" s="34">
        <f>VLOOKUP(ужин2,таб,69,FALSE)</f>
        <v>0</v>
      </c>
      <c r="AB93" s="35">
        <f>VLOOKUP(ужин3,таб,69,FALSE)</f>
        <v>0</v>
      </c>
      <c r="AC93" s="34">
        <f>VLOOKUP(ужин4,таб,69,FALSE)</f>
        <v>0</v>
      </c>
      <c r="AD93" s="35">
        <f>VLOOKUP(ужин5,таб,69,FALSE)</f>
        <v>0</v>
      </c>
      <c r="AE93" s="34">
        <f>VLOOKUP(ужин6,таб,69,FALSE)</f>
        <v>0</v>
      </c>
      <c r="AF93" s="35">
        <f>VLOOKUP(ужин7,таб,69,FALSE)</f>
        <v>0</v>
      </c>
      <c r="AG93" s="94">
        <f>VLOOKUP(ужин8,таб,69,FALSE)</f>
        <v>0</v>
      </c>
      <c r="AH93" s="152"/>
      <c r="AI93" s="161">
        <f>AK93/сред</f>
        <v>0</v>
      </c>
      <c r="AJ93" s="162"/>
      <c r="AK93" s="154">
        <f>SUM(G94:AG94)</f>
        <v>0</v>
      </c>
      <c r="AL93" s="154"/>
      <c r="AM93" s="155">
        <f>IF(AK93=0,0,DG117)</f>
        <v>0</v>
      </c>
      <c r="AN93" s="155">
        <f>AK93*AM93</f>
        <v>0</v>
      </c>
      <c r="AP93">
        <v>92</v>
      </c>
      <c r="AQ93" s="62" t="s">
        <v>140</v>
      </c>
      <c r="AR93" s="61"/>
      <c r="AS93" s="61"/>
      <c r="AT93" s="61"/>
      <c r="AU93" s="61"/>
      <c r="AV93" s="61"/>
      <c r="AW93" s="61"/>
      <c r="AX93" s="61"/>
      <c r="AY93" s="61"/>
      <c r="AZ93" s="61"/>
      <c r="BA93" s="61"/>
      <c r="BB93" s="61"/>
      <c r="BC93" s="61">
        <v>5</v>
      </c>
      <c r="BD93" s="61">
        <v>57</v>
      </c>
      <c r="BE93" s="61"/>
      <c r="BF93" s="61"/>
      <c r="BG93" s="61"/>
      <c r="BH93" s="61"/>
      <c r="BI93" s="61"/>
      <c r="BJ93" s="61">
        <v>0.1</v>
      </c>
      <c r="BK93" s="61"/>
      <c r="BL93" s="61">
        <v>57</v>
      </c>
      <c r="BM93" s="61"/>
      <c r="BN93" s="61"/>
      <c r="BO93" s="61"/>
      <c r="BP93" s="61"/>
      <c r="BQ93" s="61"/>
      <c r="BR93" s="61"/>
      <c r="BS93" s="61"/>
      <c r="BT93" s="61"/>
      <c r="BU93" s="61"/>
      <c r="BV93" s="61"/>
      <c r="BW93" s="61">
        <v>3.5</v>
      </c>
      <c r="BX93" s="61"/>
      <c r="BY93" s="61"/>
      <c r="BZ93" s="61"/>
      <c r="CA93" s="61"/>
      <c r="CB93" s="61"/>
      <c r="CC93" s="61"/>
      <c r="CD93" s="61"/>
      <c r="CE93" s="61">
        <v>15</v>
      </c>
      <c r="CF93" s="61"/>
      <c r="CG93" s="61"/>
      <c r="CH93" s="61"/>
      <c r="CI93" s="61"/>
      <c r="CJ93" s="61"/>
      <c r="CK93" s="61"/>
      <c r="CL93" s="61"/>
      <c r="CM93" s="61"/>
      <c r="CN93" s="61"/>
      <c r="CO93" s="61"/>
      <c r="CP93" s="61"/>
      <c r="CQ93" s="61"/>
      <c r="CR93" s="61"/>
      <c r="CS93" s="61"/>
      <c r="CT93" s="61"/>
      <c r="CU93" s="61"/>
      <c r="CV93" s="61"/>
      <c r="CW93" s="61"/>
      <c r="CX93" s="61"/>
      <c r="CY93" s="61"/>
      <c r="CZ93" s="61">
        <v>1</v>
      </c>
      <c r="DA93" s="61"/>
      <c r="DB93" s="61"/>
      <c r="DC93" s="61"/>
      <c r="DD93" s="61"/>
      <c r="DE93" s="61" t="s">
        <v>295</v>
      </c>
      <c r="DF93" s="61"/>
      <c r="DG93" s="61"/>
      <c r="DH93" s="61"/>
      <c r="DI93" s="61"/>
      <c r="DJ93" s="61"/>
      <c r="DK93" s="61"/>
      <c r="DL93" s="61"/>
      <c r="DM93" s="61"/>
      <c r="DN93" s="61"/>
      <c r="DO93" s="61"/>
      <c r="DP93" s="61"/>
      <c r="DQ93" s="61"/>
      <c r="DR93" s="61"/>
      <c r="DS93" s="61"/>
      <c r="DT93" s="61"/>
      <c r="DU93" s="61"/>
      <c r="DV93" s="61"/>
      <c r="DW93" s="61"/>
      <c r="DX93" s="61"/>
      <c r="DY93" s="61"/>
    </row>
    <row r="94" spans="1:129" ht="30.75" customHeight="1">
      <c r="A94" s="167"/>
      <c r="B94" s="167"/>
      <c r="C94" s="167"/>
      <c r="D94" s="167"/>
      <c r="E94" s="168"/>
      <c r="F94" s="66" t="s">
        <v>199</v>
      </c>
      <c r="G94" s="79">
        <f aca="true" t="shared" si="101" ref="G94:N94">IF(G93=0,"",завтракл*G93/1000)</f>
      </c>
      <c r="H94" s="47">
        <f t="shared" si="101"/>
      </c>
      <c r="I94" s="46">
        <f t="shared" si="101"/>
      </c>
      <c r="J94" s="47">
        <f t="shared" si="101"/>
      </c>
      <c r="K94" s="46">
        <f t="shared" si="101"/>
      </c>
      <c r="L94" s="46">
        <f t="shared" si="101"/>
      </c>
      <c r="M94" s="46">
        <f t="shared" si="101"/>
      </c>
      <c r="N94" s="89">
        <f t="shared" si="101"/>
      </c>
      <c r="O94" s="48">
        <f aca="true" t="shared" si="102" ref="O94:V94">IF(O93=0,"",обідл*O93/1000)</f>
      </c>
      <c r="P94" s="46">
        <f t="shared" si="102"/>
      </c>
      <c r="Q94" s="47">
        <f t="shared" si="102"/>
      </c>
      <c r="R94" s="46">
        <f t="shared" si="102"/>
      </c>
      <c r="S94" s="47">
        <f t="shared" si="102"/>
      </c>
      <c r="T94" s="46">
        <f t="shared" si="102"/>
      </c>
      <c r="U94" s="47">
        <f t="shared" si="102"/>
      </c>
      <c r="V94" s="46">
        <f t="shared" si="102"/>
      </c>
      <c r="W94" s="46">
        <f>IF(W93=0,"",полдникл*W93/1000)</f>
      </c>
      <c r="X94" s="46">
        <f>IF(X93=0,"",полдникл*X93/1000)</f>
      </c>
      <c r="Y94" s="89">
        <f>IF(Y93=0,"",полдникл*Y93/1000)</f>
      </c>
      <c r="Z94" s="48">
        <f aca="true" t="shared" si="103" ref="Z94:AG94">IF(Z93=0,"",ужинл*Z93/1000)</f>
      </c>
      <c r="AA94" s="47">
        <f t="shared" si="103"/>
      </c>
      <c r="AB94" s="46">
        <f t="shared" si="103"/>
      </c>
      <c r="AC94" s="47">
        <f t="shared" si="103"/>
      </c>
      <c r="AD94" s="46">
        <f t="shared" si="103"/>
      </c>
      <c r="AE94" s="47">
        <f t="shared" si="103"/>
      </c>
      <c r="AF94" s="46">
        <f t="shared" si="103"/>
      </c>
      <c r="AG94" s="89">
        <f t="shared" si="103"/>
      </c>
      <c r="AH94" s="153"/>
      <c r="AI94" s="161"/>
      <c r="AJ94" s="162"/>
      <c r="AK94" s="154"/>
      <c r="AL94" s="154"/>
      <c r="AM94" s="156"/>
      <c r="AN94" s="156"/>
      <c r="AP94">
        <v>93</v>
      </c>
      <c r="AQ94" s="62" t="s">
        <v>141</v>
      </c>
      <c r="AR94" s="61"/>
      <c r="AS94" s="61"/>
      <c r="AT94" s="61">
        <v>109</v>
      </c>
      <c r="AU94" s="61"/>
      <c r="AV94" s="61"/>
      <c r="AW94" s="61"/>
      <c r="AX94" s="61"/>
      <c r="AY94" s="61"/>
      <c r="AZ94" s="61"/>
      <c r="BA94" s="61"/>
      <c r="BB94" s="61"/>
      <c r="BC94" s="61">
        <v>1</v>
      </c>
      <c r="BD94" s="61"/>
      <c r="BE94" s="61"/>
      <c r="BF94" s="61"/>
      <c r="BG94" s="61">
        <v>10</v>
      </c>
      <c r="BH94" s="61"/>
      <c r="BI94" s="61"/>
      <c r="BJ94" s="61"/>
      <c r="BK94" s="61"/>
      <c r="BL94" s="61">
        <v>3.7</v>
      </c>
      <c r="BM94" s="61"/>
      <c r="BN94" s="61"/>
      <c r="BO94" s="61"/>
      <c r="BP94" s="61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61"/>
      <c r="CC94" s="61"/>
      <c r="CD94" s="61"/>
      <c r="CE94" s="61"/>
      <c r="CF94" s="61"/>
      <c r="CG94" s="61"/>
      <c r="CH94" s="61"/>
      <c r="CI94" s="61"/>
      <c r="CJ94" s="61"/>
      <c r="CK94" s="61"/>
      <c r="CL94" s="61"/>
      <c r="CM94" s="61">
        <v>2</v>
      </c>
      <c r="CN94" s="61"/>
      <c r="CO94" s="61"/>
      <c r="CP94" s="61"/>
      <c r="CQ94" s="61"/>
      <c r="CR94" s="61"/>
      <c r="CS94" s="61"/>
      <c r="CT94" s="61"/>
      <c r="CU94" s="61"/>
      <c r="CV94" s="61"/>
      <c r="CW94" s="61"/>
      <c r="CX94" s="61"/>
      <c r="CY94" s="61"/>
      <c r="CZ94" s="61"/>
      <c r="DA94" s="61"/>
      <c r="DB94" s="61"/>
      <c r="DC94" s="61"/>
      <c r="DD94" s="61"/>
      <c r="DE94" s="61">
        <v>100</v>
      </c>
      <c r="DF94" s="61"/>
      <c r="DG94" s="61"/>
      <c r="DH94" s="61"/>
      <c r="DI94" s="61"/>
      <c r="DJ94" s="61"/>
      <c r="DK94" s="61"/>
      <c r="DL94" s="61"/>
      <c r="DM94" s="61"/>
      <c r="DN94" s="61"/>
      <c r="DO94" s="61"/>
      <c r="DP94" s="61"/>
      <c r="DQ94" s="61"/>
      <c r="DR94" s="61"/>
      <c r="DS94" s="61"/>
      <c r="DT94" s="61"/>
      <c r="DU94" s="61"/>
      <c r="DV94" s="61"/>
      <c r="DW94" s="61"/>
      <c r="DX94" s="61"/>
      <c r="DY94" s="61"/>
    </row>
    <row r="95" spans="1:129" ht="30.75" customHeight="1">
      <c r="A95" s="191" t="s">
        <v>349</v>
      </c>
      <c r="B95" s="191"/>
      <c r="C95" s="191"/>
      <c r="D95" s="191"/>
      <c r="E95" s="192"/>
      <c r="F95" s="71" t="s">
        <v>198</v>
      </c>
      <c r="G95" s="80">
        <f>VLOOKUP(завтрак1,таб,32,FALSE)</f>
        <v>0</v>
      </c>
      <c r="H95" s="37">
        <f>VLOOKUP(завтрак2,таб,32,FALSE)</f>
        <v>0</v>
      </c>
      <c r="I95" s="38">
        <f>VLOOKUP(завтрак3,таб,32,FALSE)</f>
        <v>0</v>
      </c>
      <c r="J95" s="37">
        <f>VLOOKUP(завтрак4,таб,32,FALSE)</f>
        <v>0</v>
      </c>
      <c r="K95" s="38">
        <f>VLOOKUP(завтрак5,таб,32,FALSE)</f>
        <v>0</v>
      </c>
      <c r="L95" s="38">
        <f>VLOOKUP(завтрак6,таб,32,FALSE)</f>
        <v>0</v>
      </c>
      <c r="M95" s="28">
        <f>VLOOKUP(завтрак7,таб,32,FALSE)</f>
        <v>0</v>
      </c>
      <c r="N95" s="88">
        <f>VLOOKUP(завтрак8,таб,32,FALSE)</f>
        <v>0</v>
      </c>
      <c r="O95" s="39">
        <f>VLOOKUP(обед1,таб,32,FALSE)</f>
        <v>0</v>
      </c>
      <c r="P95" s="38">
        <f>VLOOKUP(обед2,таб,32,FALSE)</f>
        <v>0</v>
      </c>
      <c r="Q95" s="37">
        <f>VLOOKUP(обед3,таб,32,FALSE)</f>
        <v>0</v>
      </c>
      <c r="R95" s="38">
        <f>VLOOKUP(обед4,таб,32,FALSE)</f>
        <v>0</v>
      </c>
      <c r="S95" s="37">
        <f>VLOOKUP(обед5,таб,32,FALSE)</f>
        <v>0</v>
      </c>
      <c r="T95" s="38">
        <f>VLOOKUP(обед6,таб,32,FALSE)</f>
        <v>0</v>
      </c>
      <c r="U95" s="37">
        <f>VLOOKUP(обед7,таб,32,FALSE)</f>
        <v>0</v>
      </c>
      <c r="V95" s="38">
        <f>VLOOKUP(обед8,таб,32,FALSE)</f>
        <v>0</v>
      </c>
      <c r="W95" s="38">
        <f>VLOOKUP(полдник1,таб,32,FALSE)</f>
        <v>0</v>
      </c>
      <c r="X95" s="38">
        <f>VLOOKUP(полдник2,таб,32,FALSE)</f>
        <v>0</v>
      </c>
      <c r="Y95" s="95">
        <f>VLOOKUP(полдник3,таб,32,FALSE)</f>
        <v>0</v>
      </c>
      <c r="Z95" s="39">
        <f>VLOOKUP(ужин1,таб,32,FALSE)</f>
        <v>0</v>
      </c>
      <c r="AA95" s="37">
        <f>VLOOKUP(ужин2,таб,32,FALSE)</f>
        <v>0</v>
      </c>
      <c r="AB95" s="38">
        <f>VLOOKUP(ужин3,таб,32,FALSE)</f>
        <v>0</v>
      </c>
      <c r="AC95" s="37">
        <f>VLOOKUP(ужин4,таб,32,FALSE)</f>
        <v>0</v>
      </c>
      <c r="AD95" s="38">
        <f>VLOOKUP(ужин5,таб,32,FALSE)</f>
        <v>0</v>
      </c>
      <c r="AE95" s="37">
        <f>VLOOKUP(ужин6,таб,32,FALSE)</f>
        <v>0</v>
      </c>
      <c r="AF95" s="38">
        <f>VLOOKUP(ужин7,таб,32,FALSE)</f>
        <v>0</v>
      </c>
      <c r="AG95" s="95">
        <f>VLOOKUP(ужин8,таб,32,FALSE)</f>
        <v>0</v>
      </c>
      <c r="AH95" s="152">
        <v>614001</v>
      </c>
      <c r="AI95" s="161">
        <f>AK95/сред</f>
        <v>0</v>
      </c>
      <c r="AJ95" s="162"/>
      <c r="AK95" s="154">
        <f>SUM(G96:AG96)</f>
        <v>0</v>
      </c>
      <c r="AL95" s="154"/>
      <c r="AM95" s="213">
        <f>IF(AK95=0,0,BV117)</f>
        <v>0</v>
      </c>
      <c r="AN95" s="155">
        <f>AK95*AM95</f>
        <v>0</v>
      </c>
      <c r="AP95">
        <v>94</v>
      </c>
      <c r="AQ95" s="62" t="s">
        <v>142</v>
      </c>
      <c r="AR95" s="61"/>
      <c r="AS95" s="61"/>
      <c r="AT95" s="61">
        <v>130</v>
      </c>
      <c r="AU95" s="61"/>
      <c r="AV95" s="61"/>
      <c r="AW95" s="61"/>
      <c r="AX95" s="61"/>
      <c r="AY95" s="61"/>
      <c r="AZ95" s="61"/>
      <c r="BA95" s="61"/>
      <c r="BB95" s="61"/>
      <c r="BC95" s="61">
        <v>4</v>
      </c>
      <c r="BD95" s="61"/>
      <c r="BE95" s="61"/>
      <c r="BF95" s="61"/>
      <c r="BG95" s="61"/>
      <c r="BH95" s="61"/>
      <c r="BI95" s="61"/>
      <c r="BJ95" s="61"/>
      <c r="BK95" s="61"/>
      <c r="BL95" s="61">
        <v>1</v>
      </c>
      <c r="BM95" s="61"/>
      <c r="BN95" s="61"/>
      <c r="BO95" s="61"/>
      <c r="BP95" s="61"/>
      <c r="BQ95" s="61"/>
      <c r="BR95" s="61"/>
      <c r="BS95" s="61"/>
      <c r="BT95" s="61"/>
      <c r="BU95" s="61"/>
      <c r="BV95" s="61"/>
      <c r="BW95" s="61"/>
      <c r="BX95" s="61"/>
      <c r="BY95" s="61"/>
      <c r="BZ95" s="61"/>
      <c r="CA95" s="61"/>
      <c r="CB95" s="61"/>
      <c r="CC95" s="61"/>
      <c r="CD95" s="61"/>
      <c r="CE95" s="61"/>
      <c r="CF95" s="61"/>
      <c r="CG95" s="61">
        <v>134</v>
      </c>
      <c r="CH95" s="61"/>
      <c r="CI95" s="61">
        <v>23</v>
      </c>
      <c r="CJ95" s="61">
        <v>26</v>
      </c>
      <c r="CK95" s="61"/>
      <c r="CL95" s="61"/>
      <c r="CM95" s="61">
        <v>2</v>
      </c>
      <c r="CN95" s="61"/>
      <c r="CO95" s="61"/>
      <c r="CP95" s="61"/>
      <c r="CQ95" s="61"/>
      <c r="CR95" s="61"/>
      <c r="CS95" s="61"/>
      <c r="CT95" s="61"/>
      <c r="CU95" s="61"/>
      <c r="CV95" s="61"/>
      <c r="CW95" s="61"/>
      <c r="CX95" s="61"/>
      <c r="CY95" s="61"/>
      <c r="CZ95" s="61"/>
      <c r="DA95" s="61"/>
      <c r="DB95" s="61"/>
      <c r="DC95" s="61"/>
      <c r="DD95" s="61"/>
      <c r="DE95" s="61">
        <v>215</v>
      </c>
      <c r="DF95" s="61"/>
      <c r="DG95" s="61"/>
      <c r="DH95" s="61"/>
      <c r="DI95" s="61"/>
      <c r="DJ95" s="61"/>
      <c r="DK95" s="61"/>
      <c r="DL95" s="61"/>
      <c r="DM95" s="61"/>
      <c r="DN95" s="61"/>
      <c r="DO95" s="61"/>
      <c r="DP95" s="61"/>
      <c r="DQ95" s="61"/>
      <c r="DR95" s="61"/>
      <c r="DS95" s="61"/>
      <c r="DT95" s="61"/>
      <c r="DU95" s="61"/>
      <c r="DV95" s="61"/>
      <c r="DW95" s="61"/>
      <c r="DX95" s="61"/>
      <c r="DY95" s="61"/>
    </row>
    <row r="96" spans="1:129" ht="30.75" customHeight="1">
      <c r="A96" s="195"/>
      <c r="B96" s="195"/>
      <c r="C96" s="195"/>
      <c r="D96" s="195"/>
      <c r="E96" s="196"/>
      <c r="F96" s="66" t="s">
        <v>199</v>
      </c>
      <c r="G96" s="81">
        <f aca="true" t="shared" si="104" ref="G96:N96">IF(G95=0,"",завтракл*G95/1000)</f>
      </c>
      <c r="H96" s="49">
        <f t="shared" si="104"/>
      </c>
      <c r="I96" s="45">
        <f t="shared" si="104"/>
      </c>
      <c r="J96" s="49">
        <f t="shared" si="104"/>
      </c>
      <c r="K96" s="45">
        <f t="shared" si="104"/>
      </c>
      <c r="L96" s="45">
        <f t="shared" si="104"/>
      </c>
      <c r="M96" s="46">
        <f t="shared" si="104"/>
      </c>
      <c r="N96" s="89">
        <f t="shared" si="104"/>
      </c>
      <c r="O96" s="50">
        <f aca="true" t="shared" si="105" ref="O96:V96">IF(O95=0,"",обідл*O95/1000)</f>
      </c>
      <c r="P96" s="45">
        <f t="shared" si="105"/>
      </c>
      <c r="Q96" s="49">
        <f t="shared" si="105"/>
      </c>
      <c r="R96" s="45">
        <f t="shared" si="105"/>
      </c>
      <c r="S96" s="49">
        <f t="shared" si="105"/>
      </c>
      <c r="T96" s="45">
        <f t="shared" si="105"/>
      </c>
      <c r="U96" s="49">
        <f t="shared" si="105"/>
      </c>
      <c r="V96" s="45">
        <f t="shared" si="105"/>
      </c>
      <c r="W96" s="45">
        <f>IF(W95=0,"",полдникл*W95/1000)</f>
      </c>
      <c r="X96" s="45">
        <f>IF(X95=0,"",полдникл*X95/1000)</f>
      </c>
      <c r="Y96" s="92">
        <f>IF(Y95=0,"",полдникл*Y95/1000)</f>
      </c>
      <c r="Z96" s="50">
        <f aca="true" t="shared" si="106" ref="Z96:AG96">IF(Z95=0,"",ужинл*Z95/1000)</f>
      </c>
      <c r="AA96" s="49">
        <f t="shared" si="106"/>
      </c>
      <c r="AB96" s="45">
        <f t="shared" si="106"/>
      </c>
      <c r="AC96" s="49">
        <f t="shared" si="106"/>
      </c>
      <c r="AD96" s="45">
        <f t="shared" si="106"/>
      </c>
      <c r="AE96" s="49">
        <f t="shared" si="106"/>
      </c>
      <c r="AF96" s="45">
        <f t="shared" si="106"/>
      </c>
      <c r="AG96" s="92">
        <f t="shared" si="106"/>
      </c>
      <c r="AH96" s="153"/>
      <c r="AI96" s="161"/>
      <c r="AJ96" s="162"/>
      <c r="AK96" s="154"/>
      <c r="AL96" s="154"/>
      <c r="AM96" s="214"/>
      <c r="AN96" s="156"/>
      <c r="AP96">
        <v>95</v>
      </c>
      <c r="AQ96" s="62" t="s">
        <v>143</v>
      </c>
      <c r="AR96" s="61"/>
      <c r="AS96" s="61"/>
      <c r="AT96" s="61">
        <v>130</v>
      </c>
      <c r="AU96" s="61"/>
      <c r="AV96" s="61"/>
      <c r="AW96" s="61"/>
      <c r="AX96" s="61"/>
      <c r="AY96" s="61"/>
      <c r="AZ96" s="61"/>
      <c r="BA96" s="61"/>
      <c r="BB96" s="61"/>
      <c r="BC96" s="61">
        <v>1</v>
      </c>
      <c r="BD96" s="61"/>
      <c r="BE96" s="61"/>
      <c r="BF96" s="61"/>
      <c r="BG96" s="61">
        <v>20</v>
      </c>
      <c r="BH96" s="61"/>
      <c r="BI96" s="61"/>
      <c r="BJ96" s="61"/>
      <c r="BK96" s="61"/>
      <c r="BL96" s="61"/>
      <c r="BM96" s="61"/>
      <c r="BN96" s="61"/>
      <c r="BO96" s="61"/>
      <c r="BP96" s="61"/>
      <c r="BQ96" s="61"/>
      <c r="BR96" s="61"/>
      <c r="BS96" s="61"/>
      <c r="BT96" s="61"/>
      <c r="BU96" s="61"/>
      <c r="BV96" s="61"/>
      <c r="BW96" s="61"/>
      <c r="BX96" s="61"/>
      <c r="BY96" s="61"/>
      <c r="BZ96" s="61"/>
      <c r="CA96" s="61"/>
      <c r="CB96" s="61"/>
      <c r="CC96" s="61"/>
      <c r="CD96" s="61"/>
      <c r="CE96" s="61"/>
      <c r="CF96" s="61"/>
      <c r="CG96" s="61"/>
      <c r="CH96" s="61"/>
      <c r="CI96" s="61"/>
      <c r="CJ96" s="61"/>
      <c r="CK96" s="61"/>
      <c r="CL96" s="61"/>
      <c r="CM96" s="61"/>
      <c r="CN96" s="61"/>
      <c r="CO96" s="61"/>
      <c r="CP96" s="61"/>
      <c r="CQ96" s="61"/>
      <c r="CR96" s="61"/>
      <c r="CS96" s="61"/>
      <c r="CT96" s="61"/>
      <c r="CU96" s="61"/>
      <c r="CV96" s="61"/>
      <c r="CW96" s="61"/>
      <c r="CX96" s="61"/>
      <c r="CY96" s="61"/>
      <c r="CZ96" s="61"/>
      <c r="DA96" s="61"/>
      <c r="DB96" s="61"/>
      <c r="DC96" s="61"/>
      <c r="DD96" s="61"/>
      <c r="DE96" s="61" t="s">
        <v>301</v>
      </c>
      <c r="DF96" s="61"/>
      <c r="DG96" s="61"/>
      <c r="DH96" s="61"/>
      <c r="DI96" s="61"/>
      <c r="DJ96" s="61"/>
      <c r="DK96" s="61"/>
      <c r="DL96" s="61"/>
      <c r="DM96" s="61"/>
      <c r="DN96" s="61"/>
      <c r="DO96" s="61"/>
      <c r="DP96" s="61"/>
      <c r="DQ96" s="61"/>
      <c r="DR96" s="61"/>
      <c r="DS96" s="61"/>
      <c r="DT96" s="61"/>
      <c r="DU96" s="61"/>
      <c r="DV96" s="61"/>
      <c r="DW96" s="61"/>
      <c r="DX96" s="61"/>
      <c r="DY96" s="61"/>
    </row>
    <row r="97" spans="1:129" ht="30.75" customHeight="1">
      <c r="A97" s="167" t="s">
        <v>36</v>
      </c>
      <c r="B97" s="167"/>
      <c r="C97" s="167"/>
      <c r="D97" s="167"/>
      <c r="E97" s="168"/>
      <c r="F97" s="71" t="s">
        <v>198</v>
      </c>
      <c r="G97" s="78">
        <f>VLOOKUP(завтрак1,таб,33,FALSE)</f>
        <v>5</v>
      </c>
      <c r="H97" s="34">
        <f>VLOOKUP(завтрак2,таб,33,FALSE)</f>
        <v>0</v>
      </c>
      <c r="I97" s="35">
        <f>VLOOKUP(завтрак3,таб,33,FALSE)</f>
        <v>0</v>
      </c>
      <c r="J97" s="34">
        <f>VLOOKUP(завтрак4,таб,33,FALSE)</f>
        <v>0</v>
      </c>
      <c r="K97" s="35">
        <f>VLOOKUP(завтрак5,таб,33,FALSE)</f>
        <v>0</v>
      </c>
      <c r="L97" s="35">
        <f>VLOOKUP(завтрак6,таб,33,FALSE)</f>
        <v>15</v>
      </c>
      <c r="M97" s="28">
        <f>VLOOKUP(завтрак7,таб,33,FALSE)</f>
        <v>0</v>
      </c>
      <c r="N97" s="88">
        <f>VLOOKUP(завтрак8,таб,33,FALSE)</f>
        <v>0</v>
      </c>
      <c r="O97" s="36">
        <f>VLOOKUP(обед1,таб,33,FALSE)</f>
        <v>0</v>
      </c>
      <c r="P97" s="35">
        <f>VLOOKUP(обед2,таб,33,FALSE)</f>
        <v>0</v>
      </c>
      <c r="Q97" s="34">
        <f>VLOOKUP(обед3,таб,33,FALSE)</f>
        <v>0</v>
      </c>
      <c r="R97" s="35">
        <f>VLOOKUP(обед4,таб,33,FALSE)</f>
        <v>0</v>
      </c>
      <c r="S97" s="34">
        <f>VLOOKUP(обед5,таб,33,FALSE)</f>
        <v>0</v>
      </c>
      <c r="T97" s="35">
        <f>VLOOKUP(обед6,таб,33,FALSE)</f>
        <v>0</v>
      </c>
      <c r="U97" s="34">
        <f>VLOOKUP(обед7,таб,33,FALSE)</f>
        <v>0</v>
      </c>
      <c r="V97" s="35">
        <f>VLOOKUP(обед8,таб,33,FALSE)</f>
        <v>0</v>
      </c>
      <c r="W97" s="35">
        <f>VLOOKUP(полдник1,таб,33,FALSE)</f>
        <v>10</v>
      </c>
      <c r="X97" s="35">
        <f>VLOOKUP(полдник2,таб,33,FALSE)</f>
        <v>0</v>
      </c>
      <c r="Y97" s="94">
        <f>VLOOKUP(полдник3,таб,33,FALSE)</f>
        <v>0</v>
      </c>
      <c r="Z97" s="36">
        <f>VLOOKUP(ужин1,таб,33,FALSE)</f>
        <v>0</v>
      </c>
      <c r="AA97" s="34">
        <f>VLOOKUP(ужин2,таб,33,FALSE)</f>
        <v>0</v>
      </c>
      <c r="AB97" s="35">
        <f>VLOOKUP(ужин3,таб,33,FALSE)</f>
        <v>0</v>
      </c>
      <c r="AC97" s="34">
        <f>VLOOKUP(ужин4,таб,33,FALSE)</f>
        <v>0</v>
      </c>
      <c r="AD97" s="35">
        <f>VLOOKUP(ужин5,таб,33,FALSE)</f>
        <v>0</v>
      </c>
      <c r="AE97" s="34">
        <f>VLOOKUP(ужин6,таб,33,FALSE)</f>
        <v>0</v>
      </c>
      <c r="AF97" s="35">
        <v>15</v>
      </c>
      <c r="AG97" s="94">
        <f>VLOOKUP(ужин8,таб,33,FALSE)</f>
        <v>0</v>
      </c>
      <c r="AH97" s="152">
        <v>614002</v>
      </c>
      <c r="AI97" s="161">
        <f>AK97/сред</f>
        <v>0.045</v>
      </c>
      <c r="AJ97" s="162"/>
      <c r="AK97" s="154">
        <f>SUM(G98:AG98)</f>
        <v>0.72</v>
      </c>
      <c r="AL97" s="154"/>
      <c r="AM97" s="213">
        <f>IF(AK97=0,0,BW117)</f>
        <v>14</v>
      </c>
      <c r="AN97" s="155">
        <f>AK97*AM97</f>
        <v>10.08</v>
      </c>
      <c r="AP97">
        <v>96</v>
      </c>
      <c r="AQ97" s="62" t="s">
        <v>144</v>
      </c>
      <c r="AR97" s="61"/>
      <c r="AS97" s="61"/>
      <c r="AT97" s="61">
        <v>109</v>
      </c>
      <c r="AU97" s="61"/>
      <c r="AV97" s="61"/>
      <c r="AW97" s="61"/>
      <c r="AX97" s="61"/>
      <c r="AY97" s="61"/>
      <c r="AZ97" s="61"/>
      <c r="BA97" s="61"/>
      <c r="BB97" s="61"/>
      <c r="BC97" s="61">
        <v>5</v>
      </c>
      <c r="BD97" s="61"/>
      <c r="BE97" s="61"/>
      <c r="BF97" s="61"/>
      <c r="BG97" s="61">
        <v>12.5</v>
      </c>
      <c r="BH97" s="61"/>
      <c r="BI97" s="61"/>
      <c r="BJ97" s="61"/>
      <c r="BK97" s="61"/>
      <c r="BL97" s="61">
        <v>3.7</v>
      </c>
      <c r="BM97" s="61"/>
      <c r="BN97" s="61"/>
      <c r="BO97" s="61"/>
      <c r="BP97" s="61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61"/>
      <c r="CC97" s="61"/>
      <c r="CD97" s="61"/>
      <c r="CE97" s="61"/>
      <c r="CF97" s="61"/>
      <c r="CG97" s="61">
        <v>67</v>
      </c>
      <c r="CH97" s="61"/>
      <c r="CI97" s="61">
        <v>12</v>
      </c>
      <c r="CJ97" s="61">
        <v>29</v>
      </c>
      <c r="CK97" s="61"/>
      <c r="CL97" s="61"/>
      <c r="CM97" s="61"/>
      <c r="CN97" s="61"/>
      <c r="CO97" s="61"/>
      <c r="CP97" s="61"/>
      <c r="CQ97" s="61"/>
      <c r="CR97" s="61"/>
      <c r="CS97" s="61"/>
      <c r="CT97" s="61"/>
      <c r="CU97" s="61"/>
      <c r="CV97" s="61"/>
      <c r="CW97" s="61"/>
      <c r="CX97" s="61"/>
      <c r="CY97" s="61"/>
      <c r="CZ97" s="61"/>
      <c r="DA97" s="61"/>
      <c r="DB97" s="61"/>
      <c r="DC97" s="61"/>
      <c r="DD97" s="61"/>
      <c r="DE97" s="61">
        <v>150</v>
      </c>
      <c r="DF97" s="61"/>
      <c r="DG97" s="61">
        <v>8</v>
      </c>
      <c r="DH97" s="61"/>
      <c r="DI97" s="61"/>
      <c r="DJ97" s="61"/>
      <c r="DK97" s="61"/>
      <c r="DL97" s="61"/>
      <c r="DM97" s="61"/>
      <c r="DN97" s="61"/>
      <c r="DO97" s="61"/>
      <c r="DP97" s="61"/>
      <c r="DQ97" s="61"/>
      <c r="DR97" s="61"/>
      <c r="DS97" s="61"/>
      <c r="DT97" s="61"/>
      <c r="DU97" s="61"/>
      <c r="DV97" s="61"/>
      <c r="DW97" s="61"/>
      <c r="DX97" s="61"/>
      <c r="DY97" s="61"/>
    </row>
    <row r="98" spans="1:129" ht="30.75" customHeight="1">
      <c r="A98" s="167"/>
      <c r="B98" s="167"/>
      <c r="C98" s="167"/>
      <c r="D98" s="167"/>
      <c r="E98" s="168"/>
      <c r="F98" s="66" t="s">
        <v>199</v>
      </c>
      <c r="G98" s="79">
        <f aca="true" t="shared" si="107" ref="G98:N98">IF(G97=0,"",завтракл*G97/1000)</f>
        <v>0.08</v>
      </c>
      <c r="H98" s="47">
        <f t="shared" si="107"/>
      </c>
      <c r="I98" s="46">
        <f t="shared" si="107"/>
      </c>
      <c r="J98" s="47">
        <f t="shared" si="107"/>
      </c>
      <c r="K98" s="46">
        <f t="shared" si="107"/>
      </c>
      <c r="L98" s="46">
        <f t="shared" si="107"/>
        <v>0.24</v>
      </c>
      <c r="M98" s="46">
        <f t="shared" si="107"/>
      </c>
      <c r="N98" s="89">
        <f t="shared" si="107"/>
      </c>
      <c r="O98" s="48">
        <f aca="true" t="shared" si="108" ref="O98:V98">IF(O97=0,"",обідл*O97/1000)</f>
      </c>
      <c r="P98" s="46">
        <f t="shared" si="108"/>
      </c>
      <c r="Q98" s="47">
        <f t="shared" si="108"/>
      </c>
      <c r="R98" s="46">
        <f t="shared" si="108"/>
      </c>
      <c r="S98" s="47">
        <f t="shared" si="108"/>
      </c>
      <c r="T98" s="46">
        <f t="shared" si="108"/>
      </c>
      <c r="U98" s="47">
        <f t="shared" si="108"/>
      </c>
      <c r="V98" s="46">
        <f t="shared" si="108"/>
      </c>
      <c r="W98" s="46">
        <f>IF(W97=0,"",полдникл*W97/1000)</f>
        <v>0.16</v>
      </c>
      <c r="X98" s="46">
        <f>IF(X97=0,"",полдникл*X97/1000)</f>
      </c>
      <c r="Y98" s="89">
        <f>IF(Y97=0,"",полдникл*Y97/1000)</f>
      </c>
      <c r="Z98" s="48">
        <f aca="true" t="shared" si="109" ref="Z98:AG98">IF(Z97=0,"",ужинл*Z97/1000)</f>
      </c>
      <c r="AA98" s="47">
        <f t="shared" si="109"/>
      </c>
      <c r="AB98" s="46">
        <f t="shared" si="109"/>
      </c>
      <c r="AC98" s="47">
        <f t="shared" si="109"/>
      </c>
      <c r="AD98" s="46">
        <f t="shared" si="109"/>
      </c>
      <c r="AE98" s="47">
        <f t="shared" si="109"/>
      </c>
      <c r="AF98" s="46">
        <f t="shared" si="109"/>
        <v>0.24</v>
      </c>
      <c r="AG98" s="89">
        <f t="shared" si="109"/>
      </c>
      <c r="AH98" s="153"/>
      <c r="AI98" s="161"/>
      <c r="AJ98" s="162"/>
      <c r="AK98" s="154"/>
      <c r="AL98" s="154"/>
      <c r="AM98" s="214"/>
      <c r="AN98" s="156"/>
      <c r="AP98">
        <v>97</v>
      </c>
      <c r="AQ98" s="62" t="s">
        <v>145</v>
      </c>
      <c r="AR98" s="61"/>
      <c r="AS98" s="61">
        <v>87</v>
      </c>
      <c r="AT98" s="61"/>
      <c r="AU98" s="61"/>
      <c r="AV98" s="61"/>
      <c r="AW98" s="61"/>
      <c r="AX98" s="61"/>
      <c r="AY98" s="61"/>
      <c r="AZ98" s="61"/>
      <c r="BA98" s="61"/>
      <c r="BB98" s="61"/>
      <c r="BC98" s="61">
        <v>5</v>
      </c>
      <c r="BD98" s="61"/>
      <c r="BE98" s="61"/>
      <c r="BF98" s="61"/>
      <c r="BG98" s="61"/>
      <c r="BH98" s="61"/>
      <c r="BI98" s="61"/>
      <c r="BJ98" s="61"/>
      <c r="BK98" s="61"/>
      <c r="BL98" s="61"/>
      <c r="BM98" s="61"/>
      <c r="BN98" s="61"/>
      <c r="BO98" s="61"/>
      <c r="BP98" s="61"/>
      <c r="BQ98" s="61"/>
      <c r="BR98" s="61">
        <v>34</v>
      </c>
      <c r="BS98" s="61"/>
      <c r="BT98" s="61"/>
      <c r="BU98" s="61"/>
      <c r="BV98" s="61"/>
      <c r="BW98" s="61"/>
      <c r="BX98" s="61"/>
      <c r="BY98" s="61"/>
      <c r="BZ98" s="61"/>
      <c r="CA98" s="61"/>
      <c r="CB98" s="61"/>
      <c r="CC98" s="61"/>
      <c r="CD98" s="61"/>
      <c r="CE98" s="61"/>
      <c r="CF98" s="61"/>
      <c r="CG98" s="61"/>
      <c r="CH98" s="61"/>
      <c r="CI98" s="61">
        <v>6</v>
      </c>
      <c r="CJ98" s="61">
        <v>10</v>
      </c>
      <c r="CK98" s="61"/>
      <c r="CL98" s="61"/>
      <c r="CM98" s="61">
        <v>2</v>
      </c>
      <c r="CN98" s="61"/>
      <c r="CO98" s="61"/>
      <c r="CP98" s="61"/>
      <c r="CQ98" s="61"/>
      <c r="CR98" s="61"/>
      <c r="CS98" s="61"/>
      <c r="CT98" s="61"/>
      <c r="CU98" s="61"/>
      <c r="CV98" s="61"/>
      <c r="CW98" s="61"/>
      <c r="CX98" s="61"/>
      <c r="CY98" s="61"/>
      <c r="CZ98" s="61"/>
      <c r="DA98" s="61"/>
      <c r="DB98" s="61"/>
      <c r="DC98" s="61"/>
      <c r="DD98" s="61"/>
      <c r="DE98" s="61">
        <v>150</v>
      </c>
      <c r="DF98" s="61"/>
      <c r="DG98" s="61"/>
      <c r="DH98" s="61"/>
      <c r="DI98" s="61"/>
      <c r="DJ98" s="61"/>
      <c r="DK98" s="61"/>
      <c r="DL98" s="61"/>
      <c r="DM98" s="61"/>
      <c r="DN98" s="61"/>
      <c r="DO98" s="61"/>
      <c r="DP98" s="61"/>
      <c r="DQ98" s="61"/>
      <c r="DR98" s="61"/>
      <c r="DS98" s="61"/>
      <c r="DT98" s="61"/>
      <c r="DU98" s="61"/>
      <c r="DV98" s="61"/>
      <c r="DW98" s="61"/>
      <c r="DX98" s="61"/>
      <c r="DY98" s="61"/>
    </row>
    <row r="99" spans="1:129" ht="30.75" customHeight="1">
      <c r="A99" s="191" t="s">
        <v>38</v>
      </c>
      <c r="B99" s="191"/>
      <c r="C99" s="191"/>
      <c r="D99" s="191"/>
      <c r="E99" s="192"/>
      <c r="F99" s="71" t="s">
        <v>198</v>
      </c>
      <c r="G99" s="80">
        <f>VLOOKUP(завтрак1,таб,34,FALSE)</f>
        <v>0</v>
      </c>
      <c r="H99" s="37">
        <f>VLOOKUP(завтрак2,таб,34,FALSE)</f>
        <v>0</v>
      </c>
      <c r="I99" s="38">
        <f>VLOOKUP(завтрак3,таб,34,FALSE)</f>
        <v>0</v>
      </c>
      <c r="J99" s="37">
        <f>VLOOKUP(завтрак4,таб,34,FALSE)</f>
        <v>0</v>
      </c>
      <c r="K99" s="38">
        <f>VLOOKUP(завтрак5,таб,34,FALSE)</f>
        <v>0</v>
      </c>
      <c r="L99" s="38">
        <f>VLOOKUP(завтрак6,таб,34,FALSE)</f>
        <v>0</v>
      </c>
      <c r="M99" s="28">
        <f>VLOOKUP(завтрак7,таб,34,FALSE)</f>
        <v>0</v>
      </c>
      <c r="N99" s="88">
        <f>VLOOKUP(завтрак8,таб,34,FALSE)</f>
        <v>0</v>
      </c>
      <c r="O99" s="39">
        <f>VLOOKUP(обед1,таб,34,FALSE)</f>
        <v>0</v>
      </c>
      <c r="P99" s="38">
        <f>VLOOKUP(обед2,таб,34,FALSE)</f>
        <v>0</v>
      </c>
      <c r="Q99" s="37">
        <f>VLOOKUP(обед3,таб,34,FALSE)</f>
        <v>0</v>
      </c>
      <c r="R99" s="38">
        <f>VLOOKUP(обед4,таб,34,FALSE)</f>
        <v>0</v>
      </c>
      <c r="S99" s="37">
        <f>VLOOKUP(обед5,таб,34,FALSE)</f>
        <v>0</v>
      </c>
      <c r="T99" s="38">
        <f>VLOOKUP(обед6,таб,34,FALSE)</f>
        <v>0</v>
      </c>
      <c r="U99" s="37">
        <f>VLOOKUP(обед7,таб,34,FALSE)</f>
        <v>0</v>
      </c>
      <c r="V99" s="38">
        <f>VLOOKUP(обед8,таб,34,FALSE)</f>
        <v>0</v>
      </c>
      <c r="W99" s="38">
        <f>VLOOKUP(полдник1,таб,34,FALSE)</f>
        <v>0</v>
      </c>
      <c r="X99" s="38">
        <f>VLOOKUP(полдник2,таб,34,FALSE)</f>
        <v>0</v>
      </c>
      <c r="Y99" s="95">
        <f>VLOOKUP(полдник3,таб,34,FALSE)</f>
        <v>0</v>
      </c>
      <c r="Z99" s="39">
        <f>VLOOKUP(ужин1,таб,34,FALSE)</f>
        <v>0</v>
      </c>
      <c r="AA99" s="37">
        <f>VLOOKUP(ужин2,таб,34,FALSE)</f>
        <v>0</v>
      </c>
      <c r="AB99" s="38">
        <f>VLOOKUP(ужин3,таб,34,FALSE)</f>
        <v>0</v>
      </c>
      <c r="AC99" s="37">
        <f>VLOOKUP(ужин4,таб,34,FALSE)</f>
        <v>0</v>
      </c>
      <c r="AD99" s="38">
        <f>VLOOKUP(ужин5,таб,34,FALSE)</f>
        <v>0</v>
      </c>
      <c r="AE99" s="37">
        <f>VLOOKUP(ужин6,таб,34,FALSE)</f>
        <v>0</v>
      </c>
      <c r="AF99" s="38">
        <f>VLOOKUP(ужин7,таб,34,FALSE)</f>
        <v>0</v>
      </c>
      <c r="AG99" s="95">
        <f>VLOOKUP(ужин8,таб,34,FALSE)</f>
        <v>0</v>
      </c>
      <c r="AH99" s="152">
        <v>614018</v>
      </c>
      <c r="AI99" s="161">
        <f>AK99/сред</f>
        <v>0</v>
      </c>
      <c r="AJ99" s="162"/>
      <c r="AK99" s="154">
        <f>SUM(G100:AG100)</f>
        <v>0</v>
      </c>
      <c r="AL99" s="154"/>
      <c r="AM99" s="213">
        <f>IF(AK99=0,0,BX117)</f>
        <v>0</v>
      </c>
      <c r="AN99" s="155">
        <f>AK99*AM99</f>
        <v>0</v>
      </c>
      <c r="AP99">
        <v>98</v>
      </c>
      <c r="AQ99" s="62" t="s">
        <v>146</v>
      </c>
      <c r="AR99" s="61"/>
      <c r="AS99" s="61">
        <v>130</v>
      </c>
      <c r="AT99" s="61"/>
      <c r="AU99" s="61"/>
      <c r="AV99" s="61"/>
      <c r="AW99" s="61"/>
      <c r="AX99" s="61"/>
      <c r="AY99" s="61"/>
      <c r="AZ99" s="61"/>
      <c r="BA99" s="61"/>
      <c r="BB99" s="61"/>
      <c r="BC99" s="61">
        <v>2</v>
      </c>
      <c r="BD99" s="61"/>
      <c r="BE99" s="61"/>
      <c r="BF99" s="61"/>
      <c r="BG99" s="61"/>
      <c r="BH99" s="61"/>
      <c r="BI99" s="61"/>
      <c r="BJ99" s="61"/>
      <c r="BK99" s="61"/>
      <c r="BL99" s="61"/>
      <c r="BM99" s="61"/>
      <c r="BN99" s="61"/>
      <c r="BO99" s="61"/>
      <c r="BP99" s="61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61"/>
      <c r="CC99" s="61"/>
      <c r="CD99" s="61"/>
      <c r="CE99" s="61"/>
      <c r="CF99" s="61"/>
      <c r="CG99" s="61">
        <v>120</v>
      </c>
      <c r="CH99" s="61">
        <v>120</v>
      </c>
      <c r="CI99" s="61">
        <v>30</v>
      </c>
      <c r="CJ99" s="61"/>
      <c r="CK99" s="61"/>
      <c r="CL99" s="61"/>
      <c r="CM99" s="61"/>
      <c r="CN99" s="61"/>
      <c r="CO99" s="61"/>
      <c r="CP99" s="61"/>
      <c r="CQ99" s="61"/>
      <c r="CR99" s="61"/>
      <c r="CS99" s="61"/>
      <c r="CT99" s="61"/>
      <c r="CU99" s="61"/>
      <c r="CV99" s="61"/>
      <c r="CW99" s="61"/>
      <c r="CX99" s="61"/>
      <c r="CY99" s="61"/>
      <c r="CZ99" s="61"/>
      <c r="DA99" s="61"/>
      <c r="DB99" s="61"/>
      <c r="DC99" s="61"/>
      <c r="DD99" s="61"/>
      <c r="DE99" s="61">
        <v>260</v>
      </c>
      <c r="DF99" s="61"/>
      <c r="DG99" s="61"/>
      <c r="DH99" s="61"/>
      <c r="DI99" s="61"/>
      <c r="DJ99" s="61"/>
      <c r="DK99" s="61"/>
      <c r="DL99" s="61"/>
      <c r="DM99" s="61"/>
      <c r="DN99" s="61"/>
      <c r="DO99" s="61"/>
      <c r="DP99" s="61"/>
      <c r="DQ99" s="61"/>
      <c r="DR99" s="61"/>
      <c r="DS99" s="61"/>
      <c r="DT99" s="61"/>
      <c r="DU99" s="61"/>
      <c r="DV99" s="61"/>
      <c r="DW99" s="61"/>
      <c r="DX99" s="61"/>
      <c r="DY99" s="61"/>
    </row>
    <row r="100" spans="1:129" ht="30.75" customHeight="1">
      <c r="A100" s="195"/>
      <c r="B100" s="195"/>
      <c r="C100" s="195"/>
      <c r="D100" s="195"/>
      <c r="E100" s="196"/>
      <c r="F100" s="66" t="s">
        <v>199</v>
      </c>
      <c r="G100" s="81">
        <f aca="true" t="shared" si="110" ref="G100:N100">IF(G99=0,"",завтракл*G99/1000)</f>
      </c>
      <c r="H100" s="49">
        <f t="shared" si="110"/>
      </c>
      <c r="I100" s="45">
        <f t="shared" si="110"/>
      </c>
      <c r="J100" s="49">
        <f t="shared" si="110"/>
      </c>
      <c r="K100" s="45">
        <f t="shared" si="110"/>
      </c>
      <c r="L100" s="45">
        <f t="shared" si="110"/>
      </c>
      <c r="M100" s="46">
        <f t="shared" si="110"/>
      </c>
      <c r="N100" s="89">
        <f t="shared" si="110"/>
      </c>
      <c r="O100" s="50">
        <f aca="true" t="shared" si="111" ref="O100:V100">IF(O99=0,"",обідл*O99/1000)</f>
      </c>
      <c r="P100" s="45">
        <f t="shared" si="111"/>
      </c>
      <c r="Q100" s="49">
        <f t="shared" si="111"/>
      </c>
      <c r="R100" s="45">
        <f t="shared" si="111"/>
      </c>
      <c r="S100" s="49">
        <f t="shared" si="111"/>
      </c>
      <c r="T100" s="45">
        <f t="shared" si="111"/>
      </c>
      <c r="U100" s="49">
        <f t="shared" si="111"/>
      </c>
      <c r="V100" s="45">
        <f t="shared" si="111"/>
      </c>
      <c r="W100" s="45">
        <f>IF(W99=0,"",полдникл*W99/1000)</f>
      </c>
      <c r="X100" s="45">
        <f>IF(X99=0,"",полдникл*X99/1000)</f>
      </c>
      <c r="Y100" s="92">
        <f>IF(Y99=0,"",полдникл*Y99/1000)</f>
      </c>
      <c r="Z100" s="50">
        <f aca="true" t="shared" si="112" ref="Z100:AG100">IF(Z99=0,"",ужинл*Z99/1000)</f>
      </c>
      <c r="AA100" s="49">
        <f t="shared" si="112"/>
      </c>
      <c r="AB100" s="45">
        <f t="shared" si="112"/>
      </c>
      <c r="AC100" s="49">
        <f t="shared" si="112"/>
      </c>
      <c r="AD100" s="45">
        <f t="shared" si="112"/>
      </c>
      <c r="AE100" s="49">
        <f t="shared" si="112"/>
      </c>
      <c r="AF100" s="45">
        <f t="shared" si="112"/>
      </c>
      <c r="AG100" s="92">
        <f t="shared" si="112"/>
      </c>
      <c r="AH100" s="153"/>
      <c r="AI100" s="161"/>
      <c r="AJ100" s="162"/>
      <c r="AK100" s="154"/>
      <c r="AL100" s="154"/>
      <c r="AM100" s="214"/>
      <c r="AN100" s="156"/>
      <c r="AP100">
        <v>99</v>
      </c>
      <c r="AQ100" s="62" t="s">
        <v>147</v>
      </c>
      <c r="AR100" s="61"/>
      <c r="AS100" s="61">
        <v>74</v>
      </c>
      <c r="AT100" s="61"/>
      <c r="AU100" s="61"/>
      <c r="AV100" s="61"/>
      <c r="AW100" s="61"/>
      <c r="AX100" s="61"/>
      <c r="AY100" s="61"/>
      <c r="AZ100" s="61"/>
      <c r="BA100" s="61"/>
      <c r="BB100" s="61"/>
      <c r="BC100" s="61">
        <v>1</v>
      </c>
      <c r="BD100" s="61"/>
      <c r="BE100" s="61"/>
      <c r="BF100" s="61"/>
      <c r="BG100" s="61"/>
      <c r="BH100" s="61"/>
      <c r="BI100" s="61"/>
      <c r="BJ100" s="61"/>
      <c r="BK100" s="61"/>
      <c r="BL100" s="61">
        <v>2</v>
      </c>
      <c r="BM100" s="61"/>
      <c r="BN100" s="61"/>
      <c r="BO100" s="61"/>
      <c r="BP100" s="61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61"/>
      <c r="CC100" s="61"/>
      <c r="CD100" s="61"/>
      <c r="CE100" s="61"/>
      <c r="CF100" s="61"/>
      <c r="CG100" s="61">
        <v>107</v>
      </c>
      <c r="CH100" s="61"/>
      <c r="CI100" s="61">
        <v>12</v>
      </c>
      <c r="CJ100" s="61">
        <v>21</v>
      </c>
      <c r="CK100" s="61"/>
      <c r="CL100" s="61"/>
      <c r="CM100" s="61"/>
      <c r="CN100" s="61"/>
      <c r="CO100" s="61"/>
      <c r="CP100" s="61"/>
      <c r="CQ100" s="61"/>
      <c r="CR100" s="61"/>
      <c r="CS100" s="61"/>
      <c r="CT100" s="61"/>
      <c r="CU100" s="61"/>
      <c r="CV100" s="61"/>
      <c r="CW100" s="61"/>
      <c r="CX100" s="61"/>
      <c r="CY100" s="61"/>
      <c r="CZ100" s="61"/>
      <c r="DA100" s="61"/>
      <c r="DB100" s="61"/>
      <c r="DC100" s="61"/>
      <c r="DD100" s="61"/>
      <c r="DE100" s="61">
        <v>175</v>
      </c>
      <c r="DF100" s="61"/>
      <c r="DG100" s="61"/>
      <c r="DH100" s="61"/>
      <c r="DI100" s="61"/>
      <c r="DJ100" s="61"/>
      <c r="DK100" s="61"/>
      <c r="DL100" s="61"/>
      <c r="DM100" s="61"/>
      <c r="DN100" s="61"/>
      <c r="DO100" s="61"/>
      <c r="DP100" s="61"/>
      <c r="DQ100" s="61"/>
      <c r="DR100" s="61"/>
      <c r="DS100" s="61"/>
      <c r="DT100" s="61"/>
      <c r="DU100" s="61"/>
      <c r="DV100" s="61"/>
      <c r="DW100" s="61"/>
      <c r="DX100" s="61"/>
      <c r="DY100" s="61"/>
    </row>
    <row r="101" spans="1:129" ht="30.75" customHeight="1">
      <c r="A101" s="167" t="s">
        <v>39</v>
      </c>
      <c r="B101" s="167"/>
      <c r="C101" s="167"/>
      <c r="D101" s="167"/>
      <c r="E101" s="168"/>
      <c r="F101" s="71" t="s">
        <v>198</v>
      </c>
      <c r="G101" s="78">
        <f>VLOOKUP(завтрак1,таб,35,FALSE)</f>
        <v>0</v>
      </c>
      <c r="H101" s="34">
        <f>VLOOKUP(завтрак2,таб,35,FALSE)</f>
        <v>0</v>
      </c>
      <c r="I101" s="35">
        <f>VLOOKUP(завтрак3,таб,35,FALSE)</f>
        <v>0</v>
      </c>
      <c r="J101" s="34">
        <f>VLOOKUP(завтрак4,таб,35,FALSE)</f>
        <v>0</v>
      </c>
      <c r="K101" s="35">
        <f>VLOOKUP(завтрак5,таб,35,FALSE)</f>
        <v>0</v>
      </c>
      <c r="L101" s="35">
        <f>VLOOKUP(завтрак6,таб,35,FALSE)</f>
        <v>0</v>
      </c>
      <c r="M101" s="28">
        <f>VLOOKUP(завтрак7,таб,35,FALSE)</f>
        <v>0</v>
      </c>
      <c r="N101" s="88">
        <f>VLOOKUP(завтрак8,таб,35,FALSE)</f>
        <v>0</v>
      </c>
      <c r="O101" s="36">
        <f>VLOOKUP(обед1,таб,35,FALSE)</f>
        <v>0</v>
      </c>
      <c r="P101" s="35">
        <f>VLOOKUP(обед2,таб,35,FALSE)</f>
        <v>0</v>
      </c>
      <c r="Q101" s="34">
        <f>VLOOKUP(обед3,таб,35,FALSE)</f>
        <v>0</v>
      </c>
      <c r="R101" s="35">
        <f>VLOOKUP(обед4,таб,35,FALSE)</f>
        <v>0</v>
      </c>
      <c r="S101" s="34">
        <f>VLOOKUP(обед5,таб,35,FALSE)</f>
        <v>0</v>
      </c>
      <c r="T101" s="35">
        <f>VLOOKUP(обед6,таб,35,FALSE)</f>
        <v>0</v>
      </c>
      <c r="U101" s="34">
        <f>VLOOKUP(обед7,таб,35,FALSE)</f>
        <v>0</v>
      </c>
      <c r="V101" s="35">
        <f>VLOOKUP(обед8,таб,35,FALSE)</f>
        <v>0</v>
      </c>
      <c r="W101" s="35">
        <f>VLOOKUP(полдник1,таб,35,FALSE)</f>
        <v>0</v>
      </c>
      <c r="X101" s="35">
        <f>VLOOKUP(полдник2,таб,35,FALSE)</f>
        <v>0</v>
      </c>
      <c r="Y101" s="94">
        <f>VLOOKUP(полдник3,таб,35,FALSE)</f>
        <v>0</v>
      </c>
      <c r="Z101" s="36">
        <f>VLOOKUP(ужин1,таб,35,FALSE)</f>
        <v>0</v>
      </c>
      <c r="AA101" s="34">
        <f>VLOOKUP(ужин2,таб,35,FALSE)</f>
        <v>0</v>
      </c>
      <c r="AB101" s="35">
        <f>VLOOKUP(ужин3,таб,35,FALSE)</f>
        <v>0</v>
      </c>
      <c r="AC101" s="34">
        <f>VLOOKUP(ужин4,таб,35,FALSE)</f>
        <v>0</v>
      </c>
      <c r="AD101" s="35">
        <f>VLOOKUP(ужин5,таб,35,FALSE)</f>
        <v>0</v>
      </c>
      <c r="AE101" s="34">
        <f>VLOOKUP(ужин6,таб,35,FALSE)</f>
        <v>0</v>
      </c>
      <c r="AF101" s="35">
        <f>VLOOKUP(ужин7,таб,35,FALSE)</f>
        <v>0</v>
      </c>
      <c r="AG101" s="94">
        <f>VLOOKUP(ужин8,таб,35,FALSE)</f>
        <v>0</v>
      </c>
      <c r="AH101" s="152">
        <v>614024</v>
      </c>
      <c r="AI101" s="161">
        <f>AK101/сред</f>
        <v>0</v>
      </c>
      <c r="AJ101" s="162"/>
      <c r="AK101" s="154">
        <f>SUM(G102:AG102)</f>
        <v>0</v>
      </c>
      <c r="AL101" s="154"/>
      <c r="AM101" s="213">
        <f>IF(AK101=0,0,BY117)</f>
        <v>0</v>
      </c>
      <c r="AN101" s="155">
        <f>AK101*AM101</f>
        <v>0</v>
      </c>
      <c r="AP101">
        <v>100</v>
      </c>
      <c r="AQ101" s="62" t="s">
        <v>148</v>
      </c>
      <c r="AR101" s="61"/>
      <c r="AS101" s="61">
        <v>87</v>
      </c>
      <c r="AT101" s="61"/>
      <c r="AU101" s="61"/>
      <c r="AV101" s="61"/>
      <c r="AW101" s="61"/>
      <c r="AX101" s="61"/>
      <c r="AY101" s="61"/>
      <c r="AZ101" s="61"/>
      <c r="BA101" s="61"/>
      <c r="BB101" s="61"/>
      <c r="BC101" s="61">
        <v>5</v>
      </c>
      <c r="BD101" s="61"/>
      <c r="BE101" s="61"/>
      <c r="BF101" s="61"/>
      <c r="BG101" s="61"/>
      <c r="BH101" s="61"/>
      <c r="BI101" s="61"/>
      <c r="BJ101" s="61"/>
      <c r="BK101" s="61"/>
      <c r="BL101" s="61">
        <v>2</v>
      </c>
      <c r="BM101" s="61"/>
      <c r="BN101" s="61"/>
      <c r="BO101" s="61"/>
      <c r="BP101" s="61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61"/>
      <c r="CC101" s="61"/>
      <c r="CD101" s="61"/>
      <c r="CE101" s="61"/>
      <c r="CF101" s="61"/>
      <c r="CG101" s="61"/>
      <c r="CH101" s="61"/>
      <c r="CI101" s="61">
        <v>12</v>
      </c>
      <c r="CJ101" s="61"/>
      <c r="CK101" s="61"/>
      <c r="CL101" s="61"/>
      <c r="CM101" s="61">
        <v>2</v>
      </c>
      <c r="CN101" s="61"/>
      <c r="CO101" s="61"/>
      <c r="CP101" s="61"/>
      <c r="CQ101" s="61"/>
      <c r="CR101" s="61"/>
      <c r="CS101" s="61"/>
      <c r="CT101" s="61"/>
      <c r="CU101" s="61"/>
      <c r="CV101" s="61"/>
      <c r="CW101" s="61"/>
      <c r="CX101" s="61"/>
      <c r="CY101" s="61"/>
      <c r="CZ101" s="61"/>
      <c r="DA101" s="61"/>
      <c r="DB101" s="61"/>
      <c r="DC101" s="61"/>
      <c r="DD101" s="61"/>
      <c r="DE101" s="61" t="s">
        <v>297</v>
      </c>
      <c r="DF101" s="61"/>
      <c r="DG101" s="61"/>
      <c r="DH101" s="61"/>
      <c r="DI101" s="61"/>
      <c r="DJ101" s="61"/>
      <c r="DK101" s="61"/>
      <c r="DL101" s="61"/>
      <c r="DM101" s="61"/>
      <c r="DN101" s="61"/>
      <c r="DO101" s="61"/>
      <c r="DP101" s="61"/>
      <c r="DQ101" s="61"/>
      <c r="DR101" s="61"/>
      <c r="DS101" s="61"/>
      <c r="DT101" s="61"/>
      <c r="DU101" s="61"/>
      <c r="DV101" s="61"/>
      <c r="DW101" s="61"/>
      <c r="DX101" s="61"/>
      <c r="DY101" s="61"/>
    </row>
    <row r="102" spans="1:129" ht="30.75" customHeight="1">
      <c r="A102" s="167"/>
      <c r="B102" s="167"/>
      <c r="C102" s="167"/>
      <c r="D102" s="167"/>
      <c r="E102" s="168"/>
      <c r="F102" s="66" t="s">
        <v>199</v>
      </c>
      <c r="G102" s="79">
        <f aca="true" t="shared" si="113" ref="G102:N102">IF(G101=0,"",завтракл*G101/1000)</f>
      </c>
      <c r="H102" s="47">
        <f t="shared" si="113"/>
      </c>
      <c r="I102" s="46">
        <f t="shared" si="113"/>
      </c>
      <c r="J102" s="47">
        <f t="shared" si="113"/>
      </c>
      <c r="K102" s="46">
        <f t="shared" si="113"/>
      </c>
      <c r="L102" s="46">
        <f t="shared" si="113"/>
      </c>
      <c r="M102" s="46">
        <f t="shared" si="113"/>
      </c>
      <c r="N102" s="89">
        <f t="shared" si="113"/>
      </c>
      <c r="O102" s="48">
        <f aca="true" t="shared" si="114" ref="O102:V102">IF(O101=0,"",обідл*O101/1000)</f>
      </c>
      <c r="P102" s="46">
        <f t="shared" si="114"/>
      </c>
      <c r="Q102" s="47">
        <f t="shared" si="114"/>
      </c>
      <c r="R102" s="46">
        <f t="shared" si="114"/>
      </c>
      <c r="S102" s="47">
        <f t="shared" si="114"/>
      </c>
      <c r="T102" s="46">
        <f t="shared" si="114"/>
      </c>
      <c r="U102" s="47">
        <f t="shared" si="114"/>
      </c>
      <c r="V102" s="46">
        <f t="shared" si="114"/>
      </c>
      <c r="W102" s="46">
        <f>IF(W101=0,"",полдникл*W101/1000)</f>
      </c>
      <c r="X102" s="46">
        <f>IF(X101=0,"",полдникл*X101/1000)</f>
      </c>
      <c r="Y102" s="89">
        <f>IF(Y101=0,"",полдникл*Y101/1000)</f>
      </c>
      <c r="Z102" s="48">
        <f aca="true" t="shared" si="115" ref="Z102:AG102">IF(Z101=0,"",ужинл*Z101/1000)</f>
      </c>
      <c r="AA102" s="47">
        <f t="shared" si="115"/>
      </c>
      <c r="AB102" s="46">
        <f t="shared" si="115"/>
      </c>
      <c r="AC102" s="47">
        <f t="shared" si="115"/>
      </c>
      <c r="AD102" s="46">
        <f t="shared" si="115"/>
      </c>
      <c r="AE102" s="47">
        <f t="shared" si="115"/>
      </c>
      <c r="AF102" s="46">
        <f t="shared" si="115"/>
      </c>
      <c r="AG102" s="89">
        <f t="shared" si="115"/>
      </c>
      <c r="AH102" s="153"/>
      <c r="AI102" s="161"/>
      <c r="AJ102" s="162"/>
      <c r="AK102" s="154"/>
      <c r="AL102" s="154"/>
      <c r="AM102" s="214"/>
      <c r="AN102" s="156"/>
      <c r="AP102">
        <v>101</v>
      </c>
      <c r="AQ102" s="62" t="s">
        <v>149</v>
      </c>
      <c r="AR102" s="61">
        <v>130</v>
      </c>
      <c r="AS102" s="61"/>
      <c r="AT102" s="61"/>
      <c r="AU102" s="61"/>
      <c r="AV102" s="61"/>
      <c r="AW102" s="61"/>
      <c r="AX102" s="61"/>
      <c r="AY102" s="61"/>
      <c r="AZ102" s="61">
        <v>5</v>
      </c>
      <c r="BA102" s="61"/>
      <c r="BB102" s="61"/>
      <c r="BC102" s="61">
        <v>5</v>
      </c>
      <c r="BD102" s="61"/>
      <c r="BE102" s="61"/>
      <c r="BF102" s="61"/>
      <c r="BG102" s="61"/>
      <c r="BH102" s="61"/>
      <c r="BI102" s="61"/>
      <c r="BJ102" s="61"/>
      <c r="BK102" s="61"/>
      <c r="BL102" s="61">
        <v>5</v>
      </c>
      <c r="BM102" s="61"/>
      <c r="BN102" s="61"/>
      <c r="BO102" s="61"/>
      <c r="BP102" s="61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61"/>
      <c r="CC102" s="61"/>
      <c r="CD102" s="61"/>
      <c r="CE102" s="61"/>
      <c r="CF102" s="61"/>
      <c r="CG102" s="61"/>
      <c r="CH102" s="61"/>
      <c r="CI102" s="61">
        <v>15</v>
      </c>
      <c r="CJ102" s="61">
        <v>15</v>
      </c>
      <c r="CK102" s="61"/>
      <c r="CL102" s="61"/>
      <c r="CM102" s="61"/>
      <c r="CN102" s="61"/>
      <c r="CO102" s="61"/>
      <c r="CP102" s="61"/>
      <c r="CQ102" s="61"/>
      <c r="CR102" s="61"/>
      <c r="CS102" s="61"/>
      <c r="CT102" s="61"/>
      <c r="CU102" s="61"/>
      <c r="CV102" s="61"/>
      <c r="CW102" s="61"/>
      <c r="CX102" s="61"/>
      <c r="CY102" s="61"/>
      <c r="CZ102" s="61"/>
      <c r="DA102" s="61"/>
      <c r="DB102" s="61"/>
      <c r="DC102" s="61"/>
      <c r="DD102" s="61"/>
      <c r="DE102" s="61" t="s">
        <v>304</v>
      </c>
      <c r="DF102" s="61"/>
      <c r="DG102" s="61"/>
      <c r="DH102" s="61"/>
      <c r="DI102" s="61"/>
      <c r="DJ102" s="61"/>
      <c r="DK102" s="61"/>
      <c r="DL102" s="61"/>
      <c r="DM102" s="61"/>
      <c r="DN102" s="61"/>
      <c r="DO102" s="61"/>
      <c r="DP102" s="61"/>
      <c r="DQ102" s="61"/>
      <c r="DR102" s="61"/>
      <c r="DS102" s="61"/>
      <c r="DT102" s="61"/>
      <c r="DU102" s="61"/>
      <c r="DV102" s="61"/>
      <c r="DW102" s="61"/>
      <c r="DX102" s="61"/>
      <c r="DY102" s="61"/>
    </row>
    <row r="103" spans="1:129" ht="30.75" customHeight="1">
      <c r="A103" s="191" t="s">
        <v>40</v>
      </c>
      <c r="B103" s="191"/>
      <c r="C103" s="191"/>
      <c r="D103" s="191"/>
      <c r="E103" s="192"/>
      <c r="F103" s="71" t="s">
        <v>198</v>
      </c>
      <c r="G103" s="80">
        <f>VLOOKUP(завтрак1,таб,36,FALSE)</f>
        <v>0</v>
      </c>
      <c r="H103" s="37">
        <f>VLOOKUP(завтрак2,таб,36,FALSE)</f>
        <v>0</v>
      </c>
      <c r="I103" s="38">
        <f>VLOOKUP(завтрак3,таб,36,FALSE)</f>
        <v>0</v>
      </c>
      <c r="J103" s="37">
        <f>VLOOKUP(завтрак4,таб,36,FALSE)</f>
        <v>0</v>
      </c>
      <c r="K103" s="38">
        <f>VLOOKUP(завтрак5,таб,36,FALSE)</f>
        <v>0</v>
      </c>
      <c r="L103" s="38">
        <f>VLOOKUP(завтрак6,таб,36,FALSE)</f>
        <v>0</v>
      </c>
      <c r="M103" s="28">
        <f>VLOOKUP(завтрак7,таб,36,FALSE)</f>
        <v>0</v>
      </c>
      <c r="N103" s="88">
        <f>VLOOKUP(завтрак8,таб,36,FALSE)</f>
        <v>0</v>
      </c>
      <c r="O103" s="39">
        <f>VLOOKUP(обед1,таб,36,FALSE)</f>
        <v>0</v>
      </c>
      <c r="P103" s="38">
        <f>VLOOKUP(обед2,таб,36,FALSE)</f>
        <v>0</v>
      </c>
      <c r="Q103" s="37">
        <f>VLOOKUP(обед3,таб,36,FALSE)</f>
        <v>0</v>
      </c>
      <c r="R103" s="38">
        <f>VLOOKUP(обед4,таб,36,FALSE)</f>
        <v>0</v>
      </c>
      <c r="S103" s="37">
        <f>VLOOKUP(обед5,таб,36,FALSE)</f>
        <v>0</v>
      </c>
      <c r="T103" s="38">
        <f>VLOOKUP(обед6,таб,36,FALSE)</f>
        <v>0</v>
      </c>
      <c r="U103" s="37">
        <f>VLOOKUP(обед7,таб,36,FALSE)</f>
        <v>0</v>
      </c>
      <c r="V103" s="38">
        <f>VLOOKUP(обед8,таб,36,FALSE)</f>
        <v>0</v>
      </c>
      <c r="W103" s="38">
        <f>VLOOKUP(полдник1,таб,36,FALSE)</f>
        <v>0</v>
      </c>
      <c r="X103" s="38">
        <f>VLOOKUP(полдник2,таб,36,FALSE)</f>
        <v>0</v>
      </c>
      <c r="Y103" s="95">
        <f>VLOOKUP(полдник3,таб,36,FALSE)</f>
        <v>0</v>
      </c>
      <c r="Z103" s="39">
        <f>VLOOKUP(ужин1,таб,36,FALSE)</f>
        <v>0</v>
      </c>
      <c r="AA103" s="37">
        <f>VLOOKUP(ужин2,таб,36,FALSE)</f>
        <v>0</v>
      </c>
      <c r="AB103" s="38">
        <f>VLOOKUP(ужин3,таб,36,FALSE)</f>
        <v>0</v>
      </c>
      <c r="AC103" s="37">
        <f>VLOOKUP(ужин4,таб,36,FALSE)</f>
        <v>0</v>
      </c>
      <c r="AD103" s="38">
        <f>VLOOKUP(ужин5,таб,36,FALSE)</f>
        <v>0</v>
      </c>
      <c r="AE103" s="37">
        <f>VLOOKUP(ужин6,таб,36,FALSE)</f>
        <v>30</v>
      </c>
      <c r="AF103" s="38">
        <f>VLOOKUP(ужин7,таб,36,FALSE)</f>
        <v>0</v>
      </c>
      <c r="AG103" s="95">
        <f>VLOOKUP(ужин8,таб,36,FALSE)</f>
        <v>0</v>
      </c>
      <c r="AH103" s="152">
        <v>614044</v>
      </c>
      <c r="AI103" s="161">
        <f>AK103/сред</f>
        <v>0.03</v>
      </c>
      <c r="AJ103" s="162"/>
      <c r="AK103" s="154">
        <f>SUM(G104:AG104)</f>
        <v>0.48</v>
      </c>
      <c r="AL103" s="154"/>
      <c r="AM103" s="213">
        <f>IF(AK103=0,0,BZ117)</f>
        <v>78</v>
      </c>
      <c r="AN103" s="155">
        <f>AK103*AM103</f>
        <v>37.44</v>
      </c>
      <c r="AP103">
        <v>102</v>
      </c>
      <c r="AQ103" s="62" t="s">
        <v>156</v>
      </c>
      <c r="AR103" s="61">
        <v>74</v>
      </c>
      <c r="AS103" s="61"/>
      <c r="AT103" s="61"/>
      <c r="AU103" s="61"/>
      <c r="AV103" s="61"/>
      <c r="AW103" s="61"/>
      <c r="AX103" s="61"/>
      <c r="AY103" s="61"/>
      <c r="AZ103" s="61">
        <v>3</v>
      </c>
      <c r="BA103" s="61"/>
      <c r="BB103" s="61"/>
      <c r="BC103" s="61"/>
      <c r="BD103" s="61"/>
      <c r="BE103" s="61"/>
      <c r="BF103" s="61"/>
      <c r="BG103" s="61"/>
      <c r="BH103" s="61"/>
      <c r="BI103" s="61"/>
      <c r="BJ103" s="61"/>
      <c r="BK103" s="61"/>
      <c r="BL103" s="61">
        <v>2</v>
      </c>
      <c r="BM103" s="61"/>
      <c r="BN103" s="61"/>
      <c r="BO103" s="61"/>
      <c r="BP103" s="61"/>
      <c r="BQ103" s="61"/>
      <c r="BR103" s="61"/>
      <c r="BS103" s="61"/>
      <c r="BT103" s="61"/>
      <c r="BU103" s="61"/>
      <c r="BV103" s="61"/>
      <c r="BW103" s="61"/>
      <c r="BX103" s="61"/>
      <c r="BY103" s="61"/>
      <c r="BZ103" s="61"/>
      <c r="CA103" s="61"/>
      <c r="CB103" s="61"/>
      <c r="CC103" s="61"/>
      <c r="CD103" s="61"/>
      <c r="CE103" s="61"/>
      <c r="CF103" s="61"/>
      <c r="CG103" s="61"/>
      <c r="CH103" s="61"/>
      <c r="CI103" s="61">
        <v>10</v>
      </c>
      <c r="CJ103" s="61">
        <v>10</v>
      </c>
      <c r="CK103" s="61"/>
      <c r="CL103" s="61"/>
      <c r="CM103" s="61">
        <v>2</v>
      </c>
      <c r="CN103" s="61"/>
      <c r="CO103" s="61"/>
      <c r="CP103" s="61"/>
      <c r="CQ103" s="61"/>
      <c r="CR103" s="61"/>
      <c r="CS103" s="61"/>
      <c r="CT103" s="61"/>
      <c r="CU103" s="61"/>
      <c r="CV103" s="61"/>
      <c r="CW103" s="61"/>
      <c r="CX103" s="61"/>
      <c r="CY103" s="61"/>
      <c r="CZ103" s="61"/>
      <c r="DA103" s="61"/>
      <c r="DB103" s="61"/>
      <c r="DC103" s="61"/>
      <c r="DD103" s="61"/>
      <c r="DE103" s="61">
        <v>65</v>
      </c>
      <c r="DF103" s="61"/>
      <c r="DG103" s="61"/>
      <c r="DH103" s="61"/>
      <c r="DI103" s="61"/>
      <c r="DJ103" s="61"/>
      <c r="DK103" s="61"/>
      <c r="DL103" s="61"/>
      <c r="DM103" s="61"/>
      <c r="DN103" s="61"/>
      <c r="DO103" s="61"/>
      <c r="DP103" s="61"/>
      <c r="DQ103" s="61"/>
      <c r="DR103" s="61"/>
      <c r="DS103" s="61"/>
      <c r="DT103" s="61"/>
      <c r="DU103" s="61"/>
      <c r="DV103" s="61"/>
      <c r="DW103" s="61"/>
      <c r="DX103" s="61"/>
      <c r="DY103" s="61"/>
    </row>
    <row r="104" spans="1:129" ht="30.75" customHeight="1">
      <c r="A104" s="195"/>
      <c r="B104" s="195"/>
      <c r="C104" s="195"/>
      <c r="D104" s="195"/>
      <c r="E104" s="196"/>
      <c r="F104" s="66" t="s">
        <v>199</v>
      </c>
      <c r="G104" s="81">
        <f aca="true" t="shared" si="116" ref="G104:N104">IF(G103=0,"",завтракл*G103/1000)</f>
      </c>
      <c r="H104" s="49">
        <f t="shared" si="116"/>
      </c>
      <c r="I104" s="45">
        <f t="shared" si="116"/>
      </c>
      <c r="J104" s="49">
        <f t="shared" si="116"/>
      </c>
      <c r="K104" s="45">
        <f t="shared" si="116"/>
      </c>
      <c r="L104" s="45">
        <f t="shared" si="116"/>
      </c>
      <c r="M104" s="46">
        <f t="shared" si="116"/>
      </c>
      <c r="N104" s="89">
        <f t="shared" si="116"/>
      </c>
      <c r="O104" s="50">
        <f aca="true" t="shared" si="117" ref="O104:V104">IF(O103=0,"",обідл*O103/1000)</f>
      </c>
      <c r="P104" s="45">
        <f t="shared" si="117"/>
      </c>
      <c r="Q104" s="49">
        <f t="shared" si="117"/>
      </c>
      <c r="R104" s="45">
        <f t="shared" si="117"/>
      </c>
      <c r="S104" s="49">
        <f t="shared" si="117"/>
      </c>
      <c r="T104" s="45">
        <f t="shared" si="117"/>
      </c>
      <c r="U104" s="49">
        <f t="shared" si="117"/>
      </c>
      <c r="V104" s="45">
        <f t="shared" si="117"/>
      </c>
      <c r="W104" s="45">
        <f>IF(W103=0,"",полдникл*W103/1000)</f>
      </c>
      <c r="X104" s="45">
        <f>IF(X103=0,"",полдникл*X103/1000)</f>
      </c>
      <c r="Y104" s="92">
        <f>IF(Y103=0,"",полдникл*Y103/1000)</f>
      </c>
      <c r="Z104" s="50">
        <f aca="true" t="shared" si="118" ref="Z104:AG104">IF(Z103=0,"",ужинл*Z103/1000)</f>
      </c>
      <c r="AA104" s="49">
        <f t="shared" si="118"/>
      </c>
      <c r="AB104" s="45">
        <f t="shared" si="118"/>
      </c>
      <c r="AC104" s="49">
        <f t="shared" si="118"/>
      </c>
      <c r="AD104" s="45">
        <f t="shared" si="118"/>
      </c>
      <c r="AE104" s="49">
        <f t="shared" si="118"/>
        <v>0.48</v>
      </c>
      <c r="AF104" s="45">
        <f t="shared" si="118"/>
      </c>
      <c r="AG104" s="92">
        <f t="shared" si="118"/>
      </c>
      <c r="AH104" s="153"/>
      <c r="AI104" s="161"/>
      <c r="AJ104" s="162"/>
      <c r="AK104" s="154"/>
      <c r="AL104" s="154"/>
      <c r="AM104" s="214"/>
      <c r="AN104" s="156"/>
      <c r="AP104">
        <v>103</v>
      </c>
      <c r="AQ104" s="62" t="s">
        <v>157</v>
      </c>
      <c r="AR104" s="61">
        <v>130</v>
      </c>
      <c r="AS104" s="61"/>
      <c r="AT104" s="61"/>
      <c r="AU104" s="61"/>
      <c r="AV104" s="61"/>
      <c r="AW104" s="61"/>
      <c r="AX104" s="61"/>
      <c r="AY104" s="61"/>
      <c r="AZ104" s="61"/>
      <c r="BA104" s="61"/>
      <c r="BB104" s="61"/>
      <c r="BC104" s="61">
        <v>6</v>
      </c>
      <c r="BD104" s="61"/>
      <c r="BE104" s="61"/>
      <c r="BF104" s="61"/>
      <c r="BG104" s="61"/>
      <c r="BH104" s="61"/>
      <c r="BI104" s="61"/>
      <c r="BJ104" s="61"/>
      <c r="BK104" s="61"/>
      <c r="BL104" s="61">
        <v>3</v>
      </c>
      <c r="BM104" s="61"/>
      <c r="BN104" s="61"/>
      <c r="BO104" s="61"/>
      <c r="BP104" s="61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61"/>
      <c r="CC104" s="61"/>
      <c r="CD104" s="61"/>
      <c r="CE104" s="61"/>
      <c r="CF104" s="61"/>
      <c r="CG104" s="61">
        <v>128</v>
      </c>
      <c r="CH104" s="61"/>
      <c r="CI104" s="61">
        <v>14</v>
      </c>
      <c r="CJ104" s="61">
        <v>26</v>
      </c>
      <c r="CK104" s="61"/>
      <c r="CL104" s="61"/>
      <c r="CM104" s="61">
        <v>4</v>
      </c>
      <c r="CN104" s="61"/>
      <c r="CO104" s="61"/>
      <c r="CP104" s="61"/>
      <c r="CQ104" s="61"/>
      <c r="CR104" s="61"/>
      <c r="CS104" s="61"/>
      <c r="CT104" s="61"/>
      <c r="CU104" s="61"/>
      <c r="CV104" s="61"/>
      <c r="CW104" s="61"/>
      <c r="CX104" s="61"/>
      <c r="CY104" s="61"/>
      <c r="CZ104" s="61"/>
      <c r="DA104" s="61"/>
      <c r="DB104" s="61"/>
      <c r="DC104" s="61"/>
      <c r="DD104" s="61"/>
      <c r="DE104" s="61">
        <v>215</v>
      </c>
      <c r="DF104" s="61"/>
      <c r="DG104" s="61"/>
      <c r="DH104" s="61"/>
      <c r="DI104" s="61"/>
      <c r="DJ104" s="61"/>
      <c r="DK104" s="61"/>
      <c r="DL104" s="61"/>
      <c r="DM104" s="61"/>
      <c r="DN104" s="61"/>
      <c r="DO104" s="61"/>
      <c r="DP104" s="61"/>
      <c r="DQ104" s="61"/>
      <c r="DR104" s="61"/>
      <c r="DS104" s="61"/>
      <c r="DT104" s="61"/>
      <c r="DU104" s="61"/>
      <c r="DV104" s="61"/>
      <c r="DW104" s="61"/>
      <c r="DX104" s="61"/>
      <c r="DY104" s="61"/>
    </row>
    <row r="105" spans="1:129" ht="30.75" customHeight="1">
      <c r="A105" s="167" t="s">
        <v>41</v>
      </c>
      <c r="B105" s="167"/>
      <c r="C105" s="167"/>
      <c r="D105" s="167"/>
      <c r="E105" s="168"/>
      <c r="F105" s="71" t="s">
        <v>198</v>
      </c>
      <c r="G105" s="78">
        <f>VLOOKUP(завтрак1,таб,37,FALSE)</f>
        <v>0</v>
      </c>
      <c r="H105" s="34">
        <f>VLOOKUP(завтрак2,таб,37,FALSE)</f>
        <v>0</v>
      </c>
      <c r="I105" s="35">
        <f>VLOOKUP(завтрак3,таб,37,FALSE)</f>
        <v>0</v>
      </c>
      <c r="J105" s="34">
        <f>VLOOKUP(завтрак4,таб,37,FALSE)</f>
        <v>0</v>
      </c>
      <c r="K105" s="35">
        <f>VLOOKUP(завтрак5,таб,37,FALSE)</f>
        <v>0</v>
      </c>
      <c r="L105" s="35">
        <f>VLOOKUP(завтрак6,таб,37,FALSE)</f>
        <v>0</v>
      </c>
      <c r="M105" s="28">
        <f>VLOOKUP(завтрак7,таб,37,FALSE)</f>
        <v>0</v>
      </c>
      <c r="N105" s="88">
        <f>VLOOKUP(завтрак8,таб,37,FALSE)</f>
        <v>0</v>
      </c>
      <c r="O105" s="36">
        <f>VLOOKUP(обед1,таб,37,FALSE)</f>
        <v>0</v>
      </c>
      <c r="P105" s="35">
        <f>VLOOKUP(обед2,таб,37,FALSE)</f>
        <v>0</v>
      </c>
      <c r="Q105" s="34">
        <f>VLOOKUP(обед3,таб,37,FALSE)</f>
        <v>0</v>
      </c>
      <c r="R105" s="35">
        <f>VLOOKUP(обед4,таб,37,FALSE)</f>
        <v>0</v>
      </c>
      <c r="S105" s="34">
        <f>VLOOKUP(обед5,таб,37,FALSE)</f>
        <v>0</v>
      </c>
      <c r="T105" s="35">
        <f>VLOOKUP(обед6,таб,37,FALSE)</f>
        <v>0</v>
      </c>
      <c r="U105" s="34">
        <f>VLOOKUP(обед7,таб,37,FALSE)</f>
        <v>0</v>
      </c>
      <c r="V105" s="35">
        <f>VLOOKUP(обед8,таб,37,FALSE)</f>
        <v>0</v>
      </c>
      <c r="W105" s="35">
        <f>VLOOKUP(полдник1,таб,37,FALSE)</f>
        <v>0</v>
      </c>
      <c r="X105" s="35">
        <f>VLOOKUP(полдник2,таб,37,FALSE)</f>
        <v>0</v>
      </c>
      <c r="Y105" s="94">
        <f>VLOOKUP(полдник3,таб,37,FALSE)</f>
        <v>0</v>
      </c>
      <c r="Z105" s="36">
        <f>VLOOKUP(ужин1,таб,37,FALSE)</f>
        <v>0</v>
      </c>
      <c r="AA105" s="34">
        <f>VLOOKUP(ужин2,таб,37,FALSE)</f>
        <v>0</v>
      </c>
      <c r="AB105" s="35">
        <f>VLOOKUP(ужин3,таб,37,FALSE)</f>
        <v>0</v>
      </c>
      <c r="AC105" s="34">
        <f>VLOOKUP(ужин4,таб,37,FALSE)</f>
        <v>0</v>
      </c>
      <c r="AD105" s="35">
        <f>VLOOKUP(ужин5,таб,37,FALSE)</f>
        <v>0</v>
      </c>
      <c r="AE105" s="34">
        <f>VLOOKUP(ужин6,таб,37,FALSE)</f>
        <v>0</v>
      </c>
      <c r="AF105" s="35">
        <f>VLOOKUP(ужин7,таб,37,FALSE)</f>
        <v>0</v>
      </c>
      <c r="AG105" s="94">
        <f>VLOOKUP(ужин8,таб,37,FALSE)</f>
        <v>0</v>
      </c>
      <c r="AH105" s="152">
        <v>614074</v>
      </c>
      <c r="AI105" s="161">
        <f>AK105/сред</f>
        <v>0</v>
      </c>
      <c r="AJ105" s="162"/>
      <c r="AK105" s="154">
        <f>SUM(G106:AG106)</f>
        <v>0</v>
      </c>
      <c r="AL105" s="154"/>
      <c r="AM105" s="213">
        <f>IF(AK105=0,0,CA117)</f>
        <v>0</v>
      </c>
      <c r="AN105" s="155">
        <f>AK105*AM105</f>
        <v>0</v>
      </c>
      <c r="AP105">
        <v>104</v>
      </c>
      <c r="AQ105" s="62" t="s">
        <v>158</v>
      </c>
      <c r="AR105" s="61">
        <v>60</v>
      </c>
      <c r="AS105" s="61"/>
      <c r="AT105" s="61"/>
      <c r="AU105" s="61"/>
      <c r="AV105" s="61"/>
      <c r="AW105" s="61"/>
      <c r="AX105" s="61"/>
      <c r="AY105" s="61"/>
      <c r="AZ105" s="61">
        <v>5</v>
      </c>
      <c r="BA105" s="61"/>
      <c r="BB105" s="61"/>
      <c r="BC105" s="61">
        <v>3</v>
      </c>
      <c r="BD105" s="61">
        <v>12</v>
      </c>
      <c r="BE105" s="61"/>
      <c r="BF105" s="61"/>
      <c r="BG105" s="61"/>
      <c r="BH105" s="61"/>
      <c r="BI105" s="61"/>
      <c r="BJ105" s="61"/>
      <c r="BK105" s="61"/>
      <c r="BL105" s="61"/>
      <c r="BM105" s="61"/>
      <c r="BN105" s="61"/>
      <c r="BO105" s="61"/>
      <c r="BP105" s="61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61"/>
      <c r="CC105" s="61"/>
      <c r="CD105" s="61"/>
      <c r="CE105" s="61"/>
      <c r="CF105" s="61"/>
      <c r="CG105" s="61"/>
      <c r="CH105" s="61"/>
      <c r="CI105" s="61"/>
      <c r="CJ105" s="61"/>
      <c r="CK105" s="61"/>
      <c r="CL105" s="61"/>
      <c r="CM105" s="61"/>
      <c r="CN105" s="61"/>
      <c r="CO105" s="61"/>
      <c r="CP105" s="61"/>
      <c r="CQ105" s="61">
        <v>9</v>
      </c>
      <c r="CR105" s="61"/>
      <c r="CS105" s="61"/>
      <c r="CT105" s="61"/>
      <c r="CU105" s="61"/>
      <c r="CV105" s="61"/>
      <c r="CW105" s="61"/>
      <c r="CX105" s="61"/>
      <c r="CY105" s="61"/>
      <c r="CZ105" s="61"/>
      <c r="DA105" s="61"/>
      <c r="DB105" s="61"/>
      <c r="DC105" s="61"/>
      <c r="DD105" s="61"/>
      <c r="DE105" s="61">
        <v>55</v>
      </c>
      <c r="DF105" s="61"/>
      <c r="DG105" s="61"/>
      <c r="DH105" s="61"/>
      <c r="DI105" s="61">
        <v>3</v>
      </c>
      <c r="DJ105" s="61"/>
      <c r="DK105" s="61"/>
      <c r="DL105" s="61"/>
      <c r="DM105" s="61"/>
      <c r="DN105" s="61"/>
      <c r="DO105" s="61"/>
      <c r="DP105" s="61"/>
      <c r="DQ105" s="61"/>
      <c r="DR105" s="61"/>
      <c r="DS105" s="61"/>
      <c r="DT105" s="61"/>
      <c r="DU105" s="61"/>
      <c r="DV105" s="61"/>
      <c r="DW105" s="61"/>
      <c r="DX105" s="61"/>
      <c r="DY105" s="61"/>
    </row>
    <row r="106" spans="1:129" ht="30.75" customHeight="1">
      <c r="A106" s="167"/>
      <c r="B106" s="167"/>
      <c r="C106" s="167"/>
      <c r="D106" s="167"/>
      <c r="E106" s="168"/>
      <c r="F106" s="66" t="s">
        <v>199</v>
      </c>
      <c r="G106" s="79">
        <f aca="true" t="shared" si="119" ref="G106:N106">IF(G105=0,"",завтракл*G105/1000)</f>
      </c>
      <c r="H106" s="47">
        <f t="shared" si="119"/>
      </c>
      <c r="I106" s="46">
        <f t="shared" si="119"/>
      </c>
      <c r="J106" s="47">
        <f t="shared" si="119"/>
      </c>
      <c r="K106" s="46">
        <f t="shared" si="119"/>
      </c>
      <c r="L106" s="46">
        <f t="shared" si="119"/>
      </c>
      <c r="M106" s="46">
        <f t="shared" si="119"/>
      </c>
      <c r="N106" s="89">
        <f t="shared" si="119"/>
      </c>
      <c r="O106" s="48">
        <f aca="true" t="shared" si="120" ref="O106:V106">IF(O105=0,"",обідл*O105/1000)</f>
      </c>
      <c r="P106" s="46">
        <f t="shared" si="120"/>
      </c>
      <c r="Q106" s="47">
        <f t="shared" si="120"/>
      </c>
      <c r="R106" s="46">
        <f t="shared" si="120"/>
      </c>
      <c r="S106" s="47">
        <f t="shared" si="120"/>
      </c>
      <c r="T106" s="46">
        <f t="shared" si="120"/>
      </c>
      <c r="U106" s="47">
        <f t="shared" si="120"/>
      </c>
      <c r="V106" s="46">
        <f t="shared" si="120"/>
      </c>
      <c r="W106" s="46">
        <f>IF(W105=0,"",полдникл*W105/1000)</f>
      </c>
      <c r="X106" s="46">
        <f>IF(X105=0,"",полдникл*X105/1000)</f>
      </c>
      <c r="Y106" s="89">
        <f>IF(Y105=0,"",полдникл*Y105/1000)</f>
      </c>
      <c r="Z106" s="48">
        <f aca="true" t="shared" si="121" ref="Z106:AG106">IF(Z105=0,"",ужинл*Z105/1000)</f>
      </c>
      <c r="AA106" s="47">
        <f t="shared" si="121"/>
      </c>
      <c r="AB106" s="46">
        <f t="shared" si="121"/>
      </c>
      <c r="AC106" s="47">
        <f t="shared" si="121"/>
      </c>
      <c r="AD106" s="46">
        <f t="shared" si="121"/>
      </c>
      <c r="AE106" s="47">
        <f t="shared" si="121"/>
      </c>
      <c r="AF106" s="46">
        <f t="shared" si="121"/>
      </c>
      <c r="AG106" s="89">
        <f t="shared" si="121"/>
      </c>
      <c r="AH106" s="153"/>
      <c r="AI106" s="161"/>
      <c r="AJ106" s="162"/>
      <c r="AK106" s="154"/>
      <c r="AL106" s="154"/>
      <c r="AM106" s="214"/>
      <c r="AN106" s="156"/>
      <c r="AP106">
        <v>105</v>
      </c>
      <c r="AQ106" s="62" t="s">
        <v>159</v>
      </c>
      <c r="AR106" s="61"/>
      <c r="AS106" s="61">
        <v>126</v>
      </c>
      <c r="AT106" s="61"/>
      <c r="AU106" s="61"/>
      <c r="AV106" s="61"/>
      <c r="AW106" s="61"/>
      <c r="AX106" s="61"/>
      <c r="AY106" s="61"/>
      <c r="AZ106" s="61"/>
      <c r="BA106" s="61"/>
      <c r="BB106" s="61"/>
      <c r="BC106" s="61">
        <v>6</v>
      </c>
      <c r="BD106" s="61">
        <v>15</v>
      </c>
      <c r="BE106" s="61"/>
      <c r="BF106" s="61"/>
      <c r="BG106" s="61"/>
      <c r="BH106" s="61"/>
      <c r="BI106" s="61"/>
      <c r="BJ106" s="61">
        <v>0.1</v>
      </c>
      <c r="BK106" s="61"/>
      <c r="BL106" s="61">
        <v>5</v>
      </c>
      <c r="BM106" s="61"/>
      <c r="BN106" s="61"/>
      <c r="BO106" s="61"/>
      <c r="BP106" s="61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61"/>
      <c r="CC106" s="61"/>
      <c r="CD106" s="61"/>
      <c r="CE106" s="61"/>
      <c r="CF106" s="61"/>
      <c r="CG106" s="61"/>
      <c r="CH106" s="61"/>
      <c r="CI106" s="61">
        <v>14</v>
      </c>
      <c r="CJ106" s="61"/>
      <c r="CK106" s="61"/>
      <c r="CL106" s="61"/>
      <c r="CM106" s="61"/>
      <c r="CN106" s="61"/>
      <c r="CO106" s="61"/>
      <c r="CP106" s="61"/>
      <c r="CQ106" s="61">
        <v>15</v>
      </c>
      <c r="CR106" s="61"/>
      <c r="CS106" s="61"/>
      <c r="CT106" s="61"/>
      <c r="CU106" s="61"/>
      <c r="CV106" s="61"/>
      <c r="CW106" s="61"/>
      <c r="CX106" s="61"/>
      <c r="CY106" s="61"/>
      <c r="CZ106" s="61"/>
      <c r="DA106" s="61"/>
      <c r="DB106" s="61"/>
      <c r="DC106" s="61"/>
      <c r="DD106" s="61"/>
      <c r="DE106" s="61">
        <v>105</v>
      </c>
      <c r="DF106" s="61"/>
      <c r="DG106" s="61"/>
      <c r="DH106" s="61"/>
      <c r="DI106" s="61"/>
      <c r="DJ106" s="61"/>
      <c r="DK106" s="61"/>
      <c r="DL106" s="61"/>
      <c r="DM106" s="61"/>
      <c r="DN106" s="61"/>
      <c r="DO106" s="61"/>
      <c r="DP106" s="61"/>
      <c r="DQ106" s="61"/>
      <c r="DR106" s="61"/>
      <c r="DS106" s="61"/>
      <c r="DT106" s="61"/>
      <c r="DU106" s="61"/>
      <c r="DV106" s="61"/>
      <c r="DW106" s="61"/>
      <c r="DX106" s="61"/>
      <c r="DY106" s="61"/>
    </row>
    <row r="107" spans="1:129" ht="30.75" customHeight="1">
      <c r="A107" s="167" t="s">
        <v>42</v>
      </c>
      <c r="B107" s="167"/>
      <c r="C107" s="167"/>
      <c r="D107" s="167"/>
      <c r="E107" s="168"/>
      <c r="F107" s="71" t="s">
        <v>198</v>
      </c>
      <c r="G107" s="78">
        <f>VLOOKUP(завтрак1,таб,38,FALSE)</f>
        <v>0</v>
      </c>
      <c r="H107" s="34">
        <f>VLOOKUP(завтрак2,таб,38,FALSE)</f>
        <v>0</v>
      </c>
      <c r="I107" s="35">
        <f>VLOOKUP(завтрак3,таб,38,FALSE)</f>
        <v>0</v>
      </c>
      <c r="J107" s="34">
        <f>VLOOKUP(завтрак4,таб,38,FALSE)</f>
        <v>0</v>
      </c>
      <c r="K107" s="35">
        <f>VLOOKUP(завтрак5,таб,38,FALSE)</f>
        <v>0</v>
      </c>
      <c r="L107" s="35">
        <f>VLOOKUP(завтрак6,таб,38,FALSE)</f>
        <v>0</v>
      </c>
      <c r="M107" s="28">
        <f>VLOOKUP(завтрак7,таб,38,FALSE)</f>
        <v>0</v>
      </c>
      <c r="N107" s="88">
        <f>VLOOKUP(завтрак8,таб,38,FALSE)</f>
        <v>0</v>
      </c>
      <c r="O107" s="36">
        <f>VLOOKUP(обед1,таб,38,FALSE)</f>
        <v>0</v>
      </c>
      <c r="P107" s="35">
        <f>VLOOKUP(обед2,таб,38,FALSE)</f>
        <v>0</v>
      </c>
      <c r="Q107" s="34">
        <f>VLOOKUP(обед3,таб,38,FALSE)</f>
        <v>0</v>
      </c>
      <c r="R107" s="35">
        <f>VLOOKUP(обед4,таб,38,FALSE)</f>
        <v>0</v>
      </c>
      <c r="S107" s="34">
        <f>VLOOKUP(обед5,таб,38,FALSE)</f>
        <v>0</v>
      </c>
      <c r="T107" s="35">
        <f>VLOOKUP(обед6,таб,38,FALSE)</f>
        <v>0</v>
      </c>
      <c r="U107" s="34">
        <f>VLOOKUP(обед7,таб,38,FALSE)</f>
        <v>0</v>
      </c>
      <c r="V107" s="35">
        <f>VLOOKUP(обед8,таб,38,FALSE)</f>
        <v>0</v>
      </c>
      <c r="W107" s="35">
        <f>VLOOKUP(полдник1,таб,38,FALSE)</f>
        <v>0</v>
      </c>
      <c r="X107" s="35">
        <f>VLOOKUP(полдник2,таб,38,FALSE)</f>
        <v>0</v>
      </c>
      <c r="Y107" s="94">
        <f>VLOOKUP(полдник3,таб,38,FALSE)</f>
        <v>0</v>
      </c>
      <c r="Z107" s="36">
        <f>VLOOKUP(ужин1,таб,38,FALSE)</f>
        <v>0</v>
      </c>
      <c r="AA107" s="34">
        <f>VLOOKUP(ужин2,таб,38,FALSE)</f>
        <v>0</v>
      </c>
      <c r="AB107" s="35">
        <f>VLOOKUP(ужин3,таб,38,FALSE)</f>
        <v>0</v>
      </c>
      <c r="AC107" s="34">
        <f>VLOOKUP(ужин4,таб,38,FALSE)</f>
        <v>0</v>
      </c>
      <c r="AD107" s="35">
        <f>VLOOKUP(ужин5,таб,38,FALSE)</f>
        <v>0</v>
      </c>
      <c r="AE107" s="34">
        <f>VLOOKUP(ужин6,таб,38,FALSE)</f>
        <v>0</v>
      </c>
      <c r="AF107" s="35">
        <f>VLOOKUP(ужин7,таб,38,FALSE)</f>
        <v>12</v>
      </c>
      <c r="AG107" s="94">
        <f>VLOOKUP(ужин8,таб,38,FALSE)</f>
        <v>0</v>
      </c>
      <c r="AH107" s="152">
        <v>615027</v>
      </c>
      <c r="AI107" s="161">
        <f>AK107/сред</f>
        <v>0.012</v>
      </c>
      <c r="AJ107" s="162"/>
      <c r="AK107" s="154">
        <f>SUM(G108:AG108)</f>
        <v>0.192</v>
      </c>
      <c r="AL107" s="154"/>
      <c r="AM107" s="213">
        <f>IF(AK107=0,0,CB117)</f>
        <v>72</v>
      </c>
      <c r="AN107" s="155">
        <f>AK107*AM107</f>
        <v>13.824</v>
      </c>
      <c r="AP107">
        <v>106</v>
      </c>
      <c r="AQ107" s="62" t="s">
        <v>160</v>
      </c>
      <c r="AR107" s="61">
        <v>110</v>
      </c>
      <c r="AS107" s="61"/>
      <c r="AT107" s="61"/>
      <c r="AU107" s="61"/>
      <c r="AV107" s="61"/>
      <c r="AW107" s="61"/>
      <c r="AX107" s="61"/>
      <c r="AY107" s="61"/>
      <c r="AZ107" s="61">
        <v>5</v>
      </c>
      <c r="BA107" s="61"/>
      <c r="BB107" s="61"/>
      <c r="BC107" s="61"/>
      <c r="BD107" s="61"/>
      <c r="BE107" s="61"/>
      <c r="BF107" s="61"/>
      <c r="BG107" s="61"/>
      <c r="BH107" s="61"/>
      <c r="BI107" s="61"/>
      <c r="BJ107" s="61"/>
      <c r="BK107" s="61"/>
      <c r="BL107" s="61"/>
      <c r="BM107" s="61"/>
      <c r="BN107" s="61"/>
      <c r="BO107" s="61"/>
      <c r="BP107" s="61"/>
      <c r="BQ107" s="61"/>
      <c r="BR107" s="61">
        <v>34</v>
      </c>
      <c r="BS107" s="61"/>
      <c r="BT107" s="61"/>
      <c r="BU107" s="61"/>
      <c r="BV107" s="61"/>
      <c r="BW107" s="61"/>
      <c r="BX107" s="61"/>
      <c r="BY107" s="61"/>
      <c r="BZ107" s="61"/>
      <c r="CA107" s="61"/>
      <c r="CB107" s="61"/>
      <c r="CC107" s="61"/>
      <c r="CD107" s="61"/>
      <c r="CE107" s="61"/>
      <c r="CF107" s="61"/>
      <c r="CG107" s="61"/>
      <c r="CH107" s="61"/>
      <c r="CI107" s="61">
        <v>6</v>
      </c>
      <c r="CJ107" s="61">
        <v>10</v>
      </c>
      <c r="CK107" s="61"/>
      <c r="CL107" s="61"/>
      <c r="CM107" s="61"/>
      <c r="CN107" s="61"/>
      <c r="CO107" s="61"/>
      <c r="CP107" s="61"/>
      <c r="CQ107" s="61"/>
      <c r="CR107" s="61"/>
      <c r="CS107" s="61"/>
      <c r="CT107" s="61"/>
      <c r="CU107" s="61"/>
      <c r="CV107" s="61"/>
      <c r="CW107" s="61"/>
      <c r="CX107" s="61"/>
      <c r="CY107" s="61"/>
      <c r="CZ107" s="61"/>
      <c r="DA107" s="61"/>
      <c r="DB107" s="61"/>
      <c r="DC107" s="61"/>
      <c r="DD107" s="61"/>
      <c r="DE107" s="61">
        <v>150</v>
      </c>
      <c r="DF107" s="61"/>
      <c r="DG107" s="61"/>
      <c r="DH107" s="61"/>
      <c r="DI107" s="61"/>
      <c r="DJ107" s="61"/>
      <c r="DK107" s="61"/>
      <c r="DL107" s="61"/>
      <c r="DM107" s="61"/>
      <c r="DN107" s="61"/>
      <c r="DO107" s="61"/>
      <c r="DP107" s="61"/>
      <c r="DQ107" s="61"/>
      <c r="DR107" s="61"/>
      <c r="DS107" s="61"/>
      <c r="DT107" s="61"/>
      <c r="DU107" s="61"/>
      <c r="DV107" s="61"/>
      <c r="DW107" s="61"/>
      <c r="DX107" s="61"/>
      <c r="DY107" s="61"/>
    </row>
    <row r="108" spans="1:129" ht="30.75" customHeight="1">
      <c r="A108" s="167"/>
      <c r="B108" s="167"/>
      <c r="C108" s="167"/>
      <c r="D108" s="167"/>
      <c r="E108" s="168"/>
      <c r="F108" s="66" t="s">
        <v>199</v>
      </c>
      <c r="G108" s="79">
        <f aca="true" t="shared" si="122" ref="G108:N108">IF(G107=0,"",завтракл*G107/1000)</f>
      </c>
      <c r="H108" s="47">
        <f t="shared" si="122"/>
      </c>
      <c r="I108" s="46">
        <f t="shared" si="122"/>
      </c>
      <c r="J108" s="47">
        <f t="shared" si="122"/>
      </c>
      <c r="K108" s="46">
        <f t="shared" si="122"/>
      </c>
      <c r="L108" s="46">
        <f t="shared" si="122"/>
      </c>
      <c r="M108" s="46">
        <f t="shared" si="122"/>
      </c>
      <c r="N108" s="89">
        <f t="shared" si="122"/>
      </c>
      <c r="O108" s="48">
        <f aca="true" t="shared" si="123" ref="O108:V108">IF(O107=0,"",обідл*O107/1000)</f>
      </c>
      <c r="P108" s="46">
        <f t="shared" si="123"/>
      </c>
      <c r="Q108" s="47">
        <f t="shared" si="123"/>
      </c>
      <c r="R108" s="46">
        <f t="shared" si="123"/>
      </c>
      <c r="S108" s="47">
        <f t="shared" si="123"/>
      </c>
      <c r="T108" s="46">
        <f t="shared" si="123"/>
      </c>
      <c r="U108" s="47">
        <f t="shared" si="123"/>
      </c>
      <c r="V108" s="46">
        <f t="shared" si="123"/>
      </c>
      <c r="W108" s="46">
        <f>IF(W107=0,"",полдникл*W107/1000)</f>
      </c>
      <c r="X108" s="46">
        <f>IF(X107=0,"",полдникл*X107/1000)</f>
      </c>
      <c r="Y108" s="89">
        <f>IF(Y107=0,"",полдникл*Y107/1000)</f>
      </c>
      <c r="Z108" s="48">
        <f aca="true" t="shared" si="124" ref="Z108:AG108">IF(Z107=0,"",ужинл*Z107/1000)</f>
      </c>
      <c r="AA108" s="47">
        <f t="shared" si="124"/>
      </c>
      <c r="AB108" s="46">
        <f t="shared" si="124"/>
      </c>
      <c r="AC108" s="47">
        <f t="shared" si="124"/>
      </c>
      <c r="AD108" s="46">
        <f t="shared" si="124"/>
      </c>
      <c r="AE108" s="47">
        <f t="shared" si="124"/>
      </c>
      <c r="AF108" s="46">
        <f t="shared" si="124"/>
        <v>0.192</v>
      </c>
      <c r="AG108" s="89">
        <f t="shared" si="124"/>
      </c>
      <c r="AH108" s="153"/>
      <c r="AI108" s="161"/>
      <c r="AJ108" s="162"/>
      <c r="AK108" s="154"/>
      <c r="AL108" s="154"/>
      <c r="AM108" s="214"/>
      <c r="AN108" s="156"/>
      <c r="AP108">
        <v>107</v>
      </c>
      <c r="AQ108" s="62" t="s">
        <v>161</v>
      </c>
      <c r="AR108" s="61"/>
      <c r="AS108" s="61">
        <v>52</v>
      </c>
      <c r="AT108" s="61"/>
      <c r="AU108" s="61"/>
      <c r="AV108" s="61"/>
      <c r="AW108" s="61"/>
      <c r="AX108" s="61"/>
      <c r="AY108" s="61"/>
      <c r="AZ108" s="61"/>
      <c r="BA108" s="61"/>
      <c r="BB108" s="61"/>
      <c r="BC108" s="61">
        <v>3</v>
      </c>
      <c r="BD108" s="61"/>
      <c r="BE108" s="61"/>
      <c r="BF108" s="61"/>
      <c r="BG108" s="61">
        <v>10</v>
      </c>
      <c r="BH108" s="61"/>
      <c r="BI108" s="61"/>
      <c r="BJ108" s="61"/>
      <c r="BK108" s="61"/>
      <c r="BL108" s="61">
        <v>7</v>
      </c>
      <c r="BM108" s="61"/>
      <c r="BN108" s="61"/>
      <c r="BO108" s="61"/>
      <c r="BP108" s="61"/>
      <c r="BQ108" s="61"/>
      <c r="BR108" s="61">
        <v>15</v>
      </c>
      <c r="BS108" s="61"/>
      <c r="BT108" s="61"/>
      <c r="BU108" s="61"/>
      <c r="BV108" s="61"/>
      <c r="BW108" s="61"/>
      <c r="BX108" s="61"/>
      <c r="BY108" s="61"/>
      <c r="BZ108" s="61"/>
      <c r="CA108" s="61"/>
      <c r="CB108" s="61"/>
      <c r="CC108" s="61"/>
      <c r="CD108" s="61"/>
      <c r="CE108" s="61"/>
      <c r="CF108" s="61"/>
      <c r="CG108" s="61"/>
      <c r="CH108" s="61"/>
      <c r="CI108" s="61">
        <v>18</v>
      </c>
      <c r="CJ108" s="61"/>
      <c r="CK108" s="61"/>
      <c r="CL108" s="61"/>
      <c r="CM108" s="61">
        <v>2</v>
      </c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1"/>
      <c r="DA108" s="61"/>
      <c r="DB108" s="61"/>
      <c r="DC108" s="61"/>
      <c r="DD108" s="61"/>
      <c r="DE108" s="61" t="s">
        <v>298</v>
      </c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1"/>
      <c r="DR108" s="61"/>
      <c r="DS108" s="61"/>
      <c r="DT108" s="61"/>
      <c r="DU108" s="61"/>
      <c r="DV108" s="61"/>
      <c r="DW108" s="61"/>
      <c r="DX108" s="61"/>
      <c r="DY108" s="61"/>
    </row>
    <row r="109" spans="1:129" ht="30.75" customHeight="1">
      <c r="A109" s="191" t="s">
        <v>243</v>
      </c>
      <c r="B109" s="191"/>
      <c r="C109" s="191"/>
      <c r="D109" s="191"/>
      <c r="E109" s="192"/>
      <c r="F109" s="71" t="s">
        <v>198</v>
      </c>
      <c r="G109" s="80">
        <f>VLOOKUP(завтрак1,таб,39,FALSE)</f>
        <v>0</v>
      </c>
      <c r="H109" s="37">
        <f>VLOOKUP(завтрак2,таб,39,FALSE)</f>
        <v>0</v>
      </c>
      <c r="I109" s="38">
        <f>VLOOKUP(завтрак3,таб,39,FALSE)</f>
        <v>0</v>
      </c>
      <c r="J109" s="37">
        <f>VLOOKUP(завтрак4,таб,39,FALSE)</f>
        <v>0</v>
      </c>
      <c r="K109" s="38">
        <f>VLOOKUP(завтрак5,таб,39,FALSE)</f>
        <v>0</v>
      </c>
      <c r="L109" s="38">
        <f>VLOOKUP(завтрак6,таб,39,FALSE)</f>
        <v>0</v>
      </c>
      <c r="M109" s="28">
        <f>VLOOKUP(завтрак7,таб,39,FALSE)</f>
        <v>0</v>
      </c>
      <c r="N109" s="88">
        <f>VLOOKUP(завтрак8,таб,39,FALSE)</f>
        <v>0</v>
      </c>
      <c r="O109" s="39">
        <f>VLOOKUP(обед1,таб,39,FALSE)</f>
        <v>0</v>
      </c>
      <c r="P109" s="38">
        <f>VLOOKUP(обед2,таб,39,FALSE)</f>
        <v>0</v>
      </c>
      <c r="Q109" s="37">
        <f>VLOOKUP(обед3,таб,39,FALSE)</f>
        <v>0</v>
      </c>
      <c r="R109" s="38">
        <f>VLOOKUP(обед4,таб,39,FALSE)</f>
        <v>0</v>
      </c>
      <c r="S109" s="37">
        <f>VLOOKUP(обед5,таб,39,FALSE)</f>
        <v>0</v>
      </c>
      <c r="T109" s="38">
        <f>VLOOKUP(обед6,таб,39,FALSE)</f>
        <v>0</v>
      </c>
      <c r="U109" s="37">
        <f>VLOOKUP(обед7,таб,39,FALSE)</f>
        <v>0</v>
      </c>
      <c r="V109" s="38">
        <f>VLOOKUP(обед8,таб,39,FALSE)</f>
        <v>0</v>
      </c>
      <c r="W109" s="38">
        <f>VLOOKUP(полдник1,таб,39,FALSE)</f>
        <v>0</v>
      </c>
      <c r="X109" s="38">
        <f>VLOOKUP(полдник2,таб,39,FALSE)</f>
        <v>0</v>
      </c>
      <c r="Y109" s="95">
        <f>VLOOKUP(полдник3,таб,39,FALSE)</f>
        <v>0</v>
      </c>
      <c r="Z109" s="39">
        <f>VLOOKUP(ужин1,таб,39,FALSE)</f>
        <v>0</v>
      </c>
      <c r="AA109" s="37">
        <f>VLOOKUP(ужин2,таб,39,FALSE)</f>
        <v>0</v>
      </c>
      <c r="AB109" s="38">
        <f>VLOOKUP(ужин3,таб,39,FALSE)</f>
        <v>0</v>
      </c>
      <c r="AC109" s="37">
        <f>VLOOKUP(ужин4,таб,39,FALSE)</f>
        <v>0</v>
      </c>
      <c r="AD109" s="38">
        <f>VLOOKUP(ужин5,таб,39,FALSE)</f>
        <v>0</v>
      </c>
      <c r="AE109" s="37">
        <f>VLOOKUP(ужин6,таб,39,FALSE)</f>
        <v>0</v>
      </c>
      <c r="AF109" s="38">
        <f>VLOOKUP(ужин7,таб,39,FALSE)</f>
        <v>0</v>
      </c>
      <c r="AG109" s="95">
        <f>VLOOKUP(ужин8,таб,39,FALSE)</f>
        <v>0</v>
      </c>
      <c r="AH109" s="152">
        <v>615028</v>
      </c>
      <c r="AI109" s="161">
        <f>AK109/сред</f>
        <v>0</v>
      </c>
      <c r="AJ109" s="162"/>
      <c r="AK109" s="154">
        <f>SUM(G110:AG110)</f>
        <v>0</v>
      </c>
      <c r="AL109" s="154"/>
      <c r="AM109" s="213">
        <f>IF(AK109=0,0,CC117)</f>
        <v>0</v>
      </c>
      <c r="AN109" s="155">
        <f>AK109*AM109</f>
        <v>0</v>
      </c>
      <c r="AP109">
        <v>108</v>
      </c>
      <c r="AQ109" s="62" t="s">
        <v>162</v>
      </c>
      <c r="AR109" s="61">
        <v>60</v>
      </c>
      <c r="AS109" s="61"/>
      <c r="AT109" s="61"/>
      <c r="AU109" s="61"/>
      <c r="AV109" s="61"/>
      <c r="AW109" s="61"/>
      <c r="AX109" s="61"/>
      <c r="AY109" s="61"/>
      <c r="AZ109" s="61"/>
      <c r="BA109" s="61"/>
      <c r="BB109" s="61"/>
      <c r="BC109" s="61">
        <v>3</v>
      </c>
      <c r="BD109" s="61"/>
      <c r="BE109" s="61"/>
      <c r="BF109" s="61"/>
      <c r="BG109" s="61">
        <v>10</v>
      </c>
      <c r="BH109" s="61"/>
      <c r="BI109" s="61"/>
      <c r="BJ109" s="61"/>
      <c r="BK109" s="61"/>
      <c r="BL109" s="61">
        <v>7</v>
      </c>
      <c r="BM109" s="61"/>
      <c r="BN109" s="61"/>
      <c r="BO109" s="61"/>
      <c r="BP109" s="61"/>
      <c r="BQ109" s="61"/>
      <c r="BR109" s="61">
        <v>15</v>
      </c>
      <c r="BS109" s="61"/>
      <c r="BT109" s="61"/>
      <c r="BU109" s="61"/>
      <c r="BV109" s="61"/>
      <c r="BW109" s="61"/>
      <c r="BX109" s="61"/>
      <c r="BY109" s="61"/>
      <c r="BZ109" s="61"/>
      <c r="CA109" s="61"/>
      <c r="CB109" s="61"/>
      <c r="CC109" s="61"/>
      <c r="CD109" s="61"/>
      <c r="CE109" s="61"/>
      <c r="CF109" s="61"/>
      <c r="CG109" s="61"/>
      <c r="CH109" s="61"/>
      <c r="CI109" s="61">
        <v>21</v>
      </c>
      <c r="CJ109" s="61"/>
      <c r="CK109" s="61"/>
      <c r="CL109" s="61"/>
      <c r="CM109" s="61">
        <v>2</v>
      </c>
      <c r="CN109" s="61"/>
      <c r="CO109" s="61"/>
      <c r="CP109" s="61"/>
      <c r="CQ109" s="61"/>
      <c r="CR109" s="61"/>
      <c r="CS109" s="61"/>
      <c r="CT109" s="61"/>
      <c r="CU109" s="61"/>
      <c r="CV109" s="61"/>
      <c r="CW109" s="61"/>
      <c r="CX109" s="61"/>
      <c r="CY109" s="61"/>
      <c r="CZ109" s="61"/>
      <c r="DA109" s="61"/>
      <c r="DB109" s="61"/>
      <c r="DC109" s="61"/>
      <c r="DD109" s="61"/>
      <c r="DE109" s="61" t="s">
        <v>298</v>
      </c>
      <c r="DF109" s="61"/>
      <c r="DG109" s="61"/>
      <c r="DH109" s="61"/>
      <c r="DI109" s="61"/>
      <c r="DJ109" s="61"/>
      <c r="DK109" s="61"/>
      <c r="DL109" s="61"/>
      <c r="DM109" s="61"/>
      <c r="DN109" s="61"/>
      <c r="DO109" s="61"/>
      <c r="DP109" s="61"/>
      <c r="DQ109" s="61"/>
      <c r="DR109" s="61"/>
      <c r="DS109" s="61"/>
      <c r="DT109" s="61"/>
      <c r="DU109" s="61"/>
      <c r="DV109" s="61"/>
      <c r="DW109" s="61"/>
      <c r="DX109" s="61"/>
      <c r="DY109" s="61"/>
    </row>
    <row r="110" spans="1:129" ht="30.75" customHeight="1">
      <c r="A110" s="195"/>
      <c r="B110" s="195"/>
      <c r="C110" s="195"/>
      <c r="D110" s="195"/>
      <c r="E110" s="196"/>
      <c r="F110" s="66" t="s">
        <v>199</v>
      </c>
      <c r="G110" s="81">
        <f aca="true" t="shared" si="125" ref="G110:N110">IF(G109=0,"",завтракл*G109/1000)</f>
      </c>
      <c r="H110" s="49">
        <f t="shared" si="125"/>
      </c>
      <c r="I110" s="45">
        <f t="shared" si="125"/>
      </c>
      <c r="J110" s="49">
        <f t="shared" si="125"/>
      </c>
      <c r="K110" s="45">
        <f t="shared" si="125"/>
      </c>
      <c r="L110" s="45">
        <f t="shared" si="125"/>
      </c>
      <c r="M110" s="46">
        <f t="shared" si="125"/>
      </c>
      <c r="N110" s="89">
        <f t="shared" si="125"/>
      </c>
      <c r="O110" s="50">
        <f aca="true" t="shared" si="126" ref="O110:V110">IF(O109=0,"",обідл*O109/1000)</f>
      </c>
      <c r="P110" s="45">
        <f t="shared" si="126"/>
      </c>
      <c r="Q110" s="49">
        <f t="shared" si="126"/>
      </c>
      <c r="R110" s="45">
        <f t="shared" si="126"/>
      </c>
      <c r="S110" s="49">
        <f t="shared" si="126"/>
      </c>
      <c r="T110" s="45">
        <f t="shared" si="126"/>
      </c>
      <c r="U110" s="49">
        <f t="shared" si="126"/>
      </c>
      <c r="V110" s="45">
        <f t="shared" si="126"/>
      </c>
      <c r="W110" s="45">
        <f>IF(W109=0,"",полдникл*W109/1000)</f>
      </c>
      <c r="X110" s="45">
        <f>IF(X109=0,"",полдникл*X109/1000)</f>
      </c>
      <c r="Y110" s="92">
        <f>IF(Y109=0,"",полдникл*Y109/1000)</f>
      </c>
      <c r="Z110" s="50">
        <f aca="true" t="shared" si="127" ref="Z110:AG110">IF(Z109=0,"",ужинл*Z109/1000)</f>
      </c>
      <c r="AA110" s="49">
        <f t="shared" si="127"/>
      </c>
      <c r="AB110" s="45">
        <f t="shared" si="127"/>
      </c>
      <c r="AC110" s="49">
        <f t="shared" si="127"/>
      </c>
      <c r="AD110" s="45">
        <f t="shared" si="127"/>
      </c>
      <c r="AE110" s="49">
        <f t="shared" si="127"/>
      </c>
      <c r="AF110" s="45">
        <f t="shared" si="127"/>
      </c>
      <c r="AG110" s="92">
        <f t="shared" si="127"/>
      </c>
      <c r="AH110" s="153"/>
      <c r="AI110" s="161"/>
      <c r="AJ110" s="162"/>
      <c r="AK110" s="154"/>
      <c r="AL110" s="154"/>
      <c r="AM110" s="214"/>
      <c r="AN110" s="156"/>
      <c r="AP110">
        <v>109</v>
      </c>
      <c r="AQ110" s="62" t="s">
        <v>163</v>
      </c>
      <c r="AR110" s="61"/>
      <c r="AS110" s="61">
        <v>130</v>
      </c>
      <c r="AT110" s="61"/>
      <c r="AU110" s="61"/>
      <c r="AV110" s="61"/>
      <c r="AW110" s="61"/>
      <c r="AX110" s="61"/>
      <c r="AY110" s="61"/>
      <c r="AZ110" s="61"/>
      <c r="BA110" s="61"/>
      <c r="BB110" s="61"/>
      <c r="BC110" s="61">
        <v>2</v>
      </c>
      <c r="BD110" s="61"/>
      <c r="BE110" s="61"/>
      <c r="BF110" s="61"/>
      <c r="BG110" s="61"/>
      <c r="BH110" s="61"/>
      <c r="BI110" s="61"/>
      <c r="BJ110" s="61"/>
      <c r="BK110" s="61"/>
      <c r="BL110" s="61"/>
      <c r="BM110" s="61"/>
      <c r="BN110" s="61"/>
      <c r="BO110" s="61"/>
      <c r="BP110" s="61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61"/>
      <c r="CC110" s="61"/>
      <c r="CD110" s="61"/>
      <c r="CE110" s="61"/>
      <c r="CF110" s="61"/>
      <c r="CG110" s="61">
        <v>197</v>
      </c>
      <c r="CH110" s="61"/>
      <c r="CI110" s="61">
        <v>18</v>
      </c>
      <c r="CJ110" s="61"/>
      <c r="CK110" s="61"/>
      <c r="CL110" s="61"/>
      <c r="CM110" s="61">
        <v>2</v>
      </c>
      <c r="CN110" s="61"/>
      <c r="CO110" s="61"/>
      <c r="CP110" s="61"/>
      <c r="CQ110" s="61"/>
      <c r="CR110" s="61"/>
      <c r="CS110" s="61"/>
      <c r="CT110" s="61"/>
      <c r="CU110" s="61"/>
      <c r="CV110" s="61"/>
      <c r="CW110" s="61"/>
      <c r="CX110" s="61"/>
      <c r="CY110" s="61"/>
      <c r="CZ110" s="61"/>
      <c r="DA110" s="61"/>
      <c r="DB110" s="61"/>
      <c r="DC110" s="61"/>
      <c r="DD110" s="61"/>
      <c r="DE110" s="61">
        <v>260</v>
      </c>
      <c r="DF110" s="61"/>
      <c r="DG110" s="61"/>
      <c r="DH110" s="61"/>
      <c r="DI110" s="61"/>
      <c r="DJ110" s="61"/>
      <c r="DK110" s="61"/>
      <c r="DL110" s="61"/>
      <c r="DM110" s="61"/>
      <c r="DN110" s="61"/>
      <c r="DO110" s="61"/>
      <c r="DP110" s="61"/>
      <c r="DQ110" s="61"/>
      <c r="DR110" s="61"/>
      <c r="DS110" s="61"/>
      <c r="DT110" s="61"/>
      <c r="DU110" s="61"/>
      <c r="DV110" s="61"/>
      <c r="DW110" s="61"/>
      <c r="DX110" s="61"/>
      <c r="DY110" s="61"/>
    </row>
    <row r="111" spans="1:129" ht="30.75" customHeight="1">
      <c r="A111" s="167" t="s">
        <v>43</v>
      </c>
      <c r="B111" s="167"/>
      <c r="C111" s="167"/>
      <c r="D111" s="167"/>
      <c r="E111" s="168"/>
      <c r="F111" s="71" t="s">
        <v>198</v>
      </c>
      <c r="G111" s="78">
        <f>VLOOKUP(завтрак1,таб,40,FALSE)</f>
        <v>0</v>
      </c>
      <c r="H111" s="34">
        <f>VLOOKUP(завтрак2,таб,40,FALSE)</f>
        <v>0</v>
      </c>
      <c r="I111" s="35">
        <f>VLOOKUP(завтрак3,таб,40,FALSE)</f>
        <v>0</v>
      </c>
      <c r="J111" s="34">
        <f>VLOOKUP(завтрак4,таб,40,FALSE)</f>
        <v>0</v>
      </c>
      <c r="K111" s="35">
        <f>VLOOKUP(завтрак5,таб,40,FALSE)</f>
        <v>0</v>
      </c>
      <c r="L111" s="35">
        <f>VLOOKUP(завтрак6,таб,40,FALSE)</f>
        <v>0</v>
      </c>
      <c r="M111" s="28">
        <f>VLOOKUP(завтрак7,таб,40,FALSE)</f>
        <v>0</v>
      </c>
      <c r="N111" s="88">
        <f>VLOOKUP(завтрак8,таб,40,FALSE)</f>
        <v>0</v>
      </c>
      <c r="O111" s="36">
        <f>VLOOKUP(обед1,таб,40,FALSE)</f>
        <v>0</v>
      </c>
      <c r="P111" s="35">
        <f>VLOOKUP(обед2,таб,40,FALSE)</f>
        <v>0</v>
      </c>
      <c r="Q111" s="34">
        <f>VLOOKUP(обед3,таб,40,FALSE)</f>
        <v>0</v>
      </c>
      <c r="R111" s="35">
        <f>VLOOKUP(обед4,таб,40,FALSE)</f>
        <v>180</v>
      </c>
      <c r="S111" s="34">
        <f>VLOOKUP(обед5,таб,40,FALSE)</f>
        <v>0</v>
      </c>
      <c r="T111" s="35">
        <f>VLOOKUP(обед6,таб,40,FALSE)</f>
        <v>0</v>
      </c>
      <c r="U111" s="34">
        <f>VLOOKUP(обед7,таб,40,FALSE)</f>
        <v>0</v>
      </c>
      <c r="V111" s="35">
        <f>VLOOKUP(обед8,таб,40,FALSE)</f>
        <v>0</v>
      </c>
      <c r="W111" s="35">
        <f>VLOOKUP(полдник1,таб,40,FALSE)</f>
        <v>0</v>
      </c>
      <c r="X111" s="35">
        <f>VLOOKUP(полдник2,таб,40,FALSE)</f>
        <v>0</v>
      </c>
      <c r="Y111" s="94">
        <f>VLOOKUP(полдник3,таб,40,FALSE)</f>
        <v>0</v>
      </c>
      <c r="Z111" s="36">
        <f>VLOOKUP(ужин1,таб,40,FALSE)</f>
        <v>0</v>
      </c>
      <c r="AA111" s="34">
        <f>VLOOKUP(ужин2,таб,40,FALSE)</f>
        <v>0</v>
      </c>
      <c r="AB111" s="35">
        <f>VLOOKUP(ужин3,таб,40,FALSE)</f>
        <v>0</v>
      </c>
      <c r="AC111" s="34">
        <f>VLOOKUP(ужин4,таб,40,FALSE)</f>
        <v>0</v>
      </c>
      <c r="AD111" s="35">
        <f>VLOOKUP(ужин5,таб,40,FALSE)</f>
        <v>0</v>
      </c>
      <c r="AE111" s="34">
        <f>VLOOKUP(ужин6,таб,40,FALSE)</f>
        <v>0</v>
      </c>
      <c r="AF111" s="35">
        <f>VLOOKUP(ужин7,таб,40,FALSE)</f>
        <v>0</v>
      </c>
      <c r="AG111" s="94">
        <f>VLOOKUP(ужин8,таб,40,FALSE)</f>
        <v>0</v>
      </c>
      <c r="AH111" s="152"/>
      <c r="AI111" s="161">
        <f>AK111/сред</f>
        <v>0.18</v>
      </c>
      <c r="AJ111" s="162"/>
      <c r="AK111" s="154">
        <f>SUM(G112:AG112)</f>
        <v>2.88</v>
      </c>
      <c r="AL111" s="154"/>
      <c r="AM111" s="213">
        <f>IF(AK111=0,0,CD117)</f>
        <v>24.8</v>
      </c>
      <c r="AN111" s="155">
        <f>AK111*AM111</f>
        <v>71.42399999999999</v>
      </c>
      <c r="AP111">
        <v>110</v>
      </c>
      <c r="AQ111" s="62" t="s">
        <v>164</v>
      </c>
      <c r="AR111" s="61"/>
      <c r="AS111" s="61"/>
      <c r="AT111" s="61"/>
      <c r="AU111" s="61"/>
      <c r="AV111" s="61"/>
      <c r="AW111" s="61"/>
      <c r="AX111" s="61"/>
      <c r="AY111" s="61"/>
      <c r="AZ111" s="61">
        <v>3</v>
      </c>
      <c r="BA111" s="61"/>
      <c r="BB111" s="61"/>
      <c r="BC111" s="61">
        <v>3</v>
      </c>
      <c r="BD111" s="61"/>
      <c r="BE111" s="61"/>
      <c r="BF111" s="61"/>
      <c r="BG111" s="61"/>
      <c r="BH111" s="61"/>
      <c r="BI111" s="61"/>
      <c r="BJ111" s="61"/>
      <c r="BK111" s="61"/>
      <c r="BL111" s="61">
        <v>23</v>
      </c>
      <c r="BM111" s="61"/>
      <c r="BN111" s="61"/>
      <c r="BO111" s="61"/>
      <c r="BP111" s="61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61"/>
      <c r="CC111" s="61"/>
      <c r="CD111" s="61"/>
      <c r="CE111" s="61"/>
      <c r="CF111" s="61"/>
      <c r="CG111" s="61">
        <v>80</v>
      </c>
      <c r="CH111" s="61"/>
      <c r="CI111" s="61">
        <v>14</v>
      </c>
      <c r="CJ111" s="61">
        <v>15</v>
      </c>
      <c r="CK111" s="61"/>
      <c r="CL111" s="61"/>
      <c r="CM111" s="61"/>
      <c r="CN111" s="61"/>
      <c r="CO111" s="61"/>
      <c r="CP111" s="61"/>
      <c r="CQ111" s="61"/>
      <c r="CR111" s="61"/>
      <c r="CS111" s="61"/>
      <c r="CT111" s="61"/>
      <c r="CU111" s="61"/>
      <c r="CV111" s="61"/>
      <c r="CW111" s="61"/>
      <c r="CX111" s="61"/>
      <c r="CY111" s="61"/>
      <c r="CZ111" s="61"/>
      <c r="DA111" s="61"/>
      <c r="DB111" s="61"/>
      <c r="DC111" s="61"/>
      <c r="DD111" s="61"/>
      <c r="DE111" s="61">
        <v>300</v>
      </c>
      <c r="DF111" s="61"/>
      <c r="DG111" s="61"/>
      <c r="DH111" s="61"/>
      <c r="DI111" s="61"/>
      <c r="DJ111" s="61"/>
      <c r="DK111" s="61"/>
      <c r="DL111" s="61"/>
      <c r="DM111" s="61"/>
      <c r="DN111" s="61"/>
      <c r="DO111" s="61"/>
      <c r="DP111" s="61"/>
      <c r="DQ111" s="61"/>
      <c r="DR111" s="61"/>
      <c r="DS111" s="61"/>
      <c r="DT111" s="61"/>
      <c r="DU111" s="61"/>
      <c r="DV111" s="61"/>
      <c r="DW111" s="61"/>
      <c r="DX111" s="61"/>
      <c r="DY111" s="61"/>
    </row>
    <row r="112" spans="1:129" ht="30.75" customHeight="1">
      <c r="A112" s="167"/>
      <c r="B112" s="167"/>
      <c r="C112" s="167"/>
      <c r="D112" s="167"/>
      <c r="E112" s="168"/>
      <c r="F112" s="66" t="s">
        <v>199</v>
      </c>
      <c r="G112" s="79">
        <f aca="true" t="shared" si="128" ref="G112:N112">IF(G111=0,"",завтракл*G111/1000)</f>
      </c>
      <c r="H112" s="47">
        <f t="shared" si="128"/>
      </c>
      <c r="I112" s="46">
        <f t="shared" si="128"/>
      </c>
      <c r="J112" s="47">
        <f t="shared" si="128"/>
      </c>
      <c r="K112" s="46">
        <f t="shared" si="128"/>
      </c>
      <c r="L112" s="46">
        <f t="shared" si="128"/>
      </c>
      <c r="M112" s="46">
        <f t="shared" si="128"/>
      </c>
      <c r="N112" s="89">
        <f t="shared" si="128"/>
      </c>
      <c r="O112" s="48">
        <f aca="true" t="shared" si="129" ref="O112:V112">IF(O111=0,"",обідл*O111/1000)</f>
      </c>
      <c r="P112" s="46">
        <f t="shared" si="129"/>
      </c>
      <c r="Q112" s="47">
        <f t="shared" si="129"/>
      </c>
      <c r="R112" s="46">
        <f t="shared" si="129"/>
        <v>2.88</v>
      </c>
      <c r="S112" s="47">
        <f t="shared" si="129"/>
      </c>
      <c r="T112" s="46">
        <f t="shared" si="129"/>
      </c>
      <c r="U112" s="47">
        <f t="shared" si="129"/>
      </c>
      <c r="V112" s="46">
        <f t="shared" si="129"/>
      </c>
      <c r="W112" s="46">
        <f>IF(W111=0,"",полдникл*W111/1000)</f>
      </c>
      <c r="X112" s="46">
        <f>IF(X111=0,"",полдникл*X111/1000)</f>
      </c>
      <c r="Y112" s="89">
        <f>IF(Y111=0,"",полдникл*Y111/1000)</f>
      </c>
      <c r="Z112" s="48">
        <f aca="true" t="shared" si="130" ref="Z112:AG112">IF(Z111=0,"",ужинл*Z111/1000)</f>
      </c>
      <c r="AA112" s="47">
        <f t="shared" si="130"/>
      </c>
      <c r="AB112" s="46">
        <f t="shared" si="130"/>
      </c>
      <c r="AC112" s="47">
        <f t="shared" si="130"/>
      </c>
      <c r="AD112" s="46">
        <f t="shared" si="130"/>
      </c>
      <c r="AE112" s="47">
        <f t="shared" si="130"/>
      </c>
      <c r="AF112" s="46">
        <f t="shared" si="130"/>
      </c>
      <c r="AG112" s="89">
        <f t="shared" si="130"/>
      </c>
      <c r="AH112" s="153"/>
      <c r="AI112" s="161"/>
      <c r="AJ112" s="162"/>
      <c r="AK112" s="154"/>
      <c r="AL112" s="154"/>
      <c r="AM112" s="214"/>
      <c r="AN112" s="156"/>
      <c r="AP112">
        <v>111</v>
      </c>
      <c r="AQ112" s="62" t="s">
        <v>166</v>
      </c>
      <c r="AR112" s="61"/>
      <c r="AS112" s="61"/>
      <c r="AT112" s="61"/>
      <c r="AU112" s="61"/>
      <c r="AV112" s="61"/>
      <c r="AW112" s="61"/>
      <c r="AX112" s="61"/>
      <c r="AY112" s="61"/>
      <c r="AZ112" s="61">
        <v>15</v>
      </c>
      <c r="BA112" s="61"/>
      <c r="BB112" s="61"/>
      <c r="BC112" s="61"/>
      <c r="BD112" s="61"/>
      <c r="BE112" s="61"/>
      <c r="BF112" s="61"/>
      <c r="BG112" s="61"/>
      <c r="BH112" s="61"/>
      <c r="BI112" s="61"/>
      <c r="BJ112" s="61"/>
      <c r="BK112" s="61"/>
      <c r="BL112" s="61"/>
      <c r="BM112" s="61"/>
      <c r="BN112" s="61"/>
      <c r="BO112" s="61"/>
      <c r="BP112" s="61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61"/>
      <c r="CC112" s="61"/>
      <c r="CD112" s="61"/>
      <c r="CE112" s="61"/>
      <c r="CF112" s="61"/>
      <c r="CG112" s="61"/>
      <c r="CH112" s="61"/>
      <c r="CI112" s="61"/>
      <c r="CJ112" s="61"/>
      <c r="CK112" s="61"/>
      <c r="CL112" s="61"/>
      <c r="CM112" s="61"/>
      <c r="CN112" s="61"/>
      <c r="CO112" s="61"/>
      <c r="CP112" s="61"/>
      <c r="CQ112" s="61"/>
      <c r="CR112" s="61"/>
      <c r="CS112" s="61"/>
      <c r="CT112" s="61"/>
      <c r="CU112" s="61"/>
      <c r="CV112" s="61"/>
      <c r="CW112" s="61"/>
      <c r="CX112" s="61"/>
      <c r="CY112" s="61"/>
      <c r="CZ112" s="61"/>
      <c r="DA112" s="61"/>
      <c r="DB112" s="61"/>
      <c r="DC112" s="61"/>
      <c r="DD112" s="61"/>
      <c r="DE112" s="61">
        <v>15</v>
      </c>
      <c r="DF112" s="61"/>
      <c r="DG112" s="61"/>
      <c r="DH112" s="61"/>
      <c r="DI112" s="61"/>
      <c r="DJ112" s="61"/>
      <c r="DK112" s="61"/>
      <c r="DL112" s="61"/>
      <c r="DM112" s="61"/>
      <c r="DN112" s="61"/>
      <c r="DO112" s="61"/>
      <c r="DP112" s="61"/>
      <c r="DQ112" s="61"/>
      <c r="DR112" s="61"/>
      <c r="DS112" s="61"/>
      <c r="DT112" s="61"/>
      <c r="DU112" s="61"/>
      <c r="DV112" s="61"/>
      <c r="DW112" s="61"/>
      <c r="DX112" s="61"/>
      <c r="DY112" s="61"/>
    </row>
    <row r="113" spans="1:129" ht="30.75" customHeight="1">
      <c r="A113" s="167" t="s">
        <v>44</v>
      </c>
      <c r="B113" s="167"/>
      <c r="C113" s="167"/>
      <c r="D113" s="167"/>
      <c r="E113" s="168"/>
      <c r="F113" s="71" t="s">
        <v>198</v>
      </c>
      <c r="G113" s="80">
        <f>VLOOKUP(завтрак1,таб,41,FALSE)</f>
        <v>0</v>
      </c>
      <c r="H113" s="37">
        <f>VLOOKUP(завтрак2,таб,41,FALSE)</f>
        <v>0</v>
      </c>
      <c r="I113" s="38">
        <f>VLOOKUP(завтрак3,таб,41,FALSE)</f>
        <v>0</v>
      </c>
      <c r="J113" s="37">
        <f>VLOOKUP(завтрак4,таб,41,FALSE)</f>
        <v>0</v>
      </c>
      <c r="K113" s="38">
        <f>VLOOKUP(завтрак5,таб,41,FALSE)</f>
        <v>0</v>
      </c>
      <c r="L113" s="38">
        <f>VLOOKUP(завтрак6,таб,41,FALSE)</f>
        <v>0</v>
      </c>
      <c r="M113" s="28">
        <f>VLOOKUP(завтрак7,таб,41,FALSE)</f>
        <v>0</v>
      </c>
      <c r="N113" s="88">
        <f>VLOOKUP(завтрак8,таб,41,FALSE)</f>
        <v>0</v>
      </c>
      <c r="O113" s="39">
        <f>VLOOKUP(обед1,таб,41,FALSE)</f>
        <v>0</v>
      </c>
      <c r="P113" s="38">
        <f>VLOOKUP(обед2,таб,41,FALSE)</f>
        <v>0</v>
      </c>
      <c r="Q113" s="37">
        <f>VLOOKUP(обед3,таб,41,FALSE)</f>
        <v>0</v>
      </c>
      <c r="R113" s="38">
        <f>VLOOKUP(обед4,таб,41,FALSE)</f>
        <v>0</v>
      </c>
      <c r="S113" s="37">
        <f>VLOOKUP(обед5,таб,41,FALSE)</f>
        <v>0</v>
      </c>
      <c r="T113" s="38">
        <f>VLOOKUP(обед6,таб,41,FALSE)</f>
        <v>0</v>
      </c>
      <c r="U113" s="37">
        <f>VLOOKUP(обед7,таб,41,FALSE)</f>
        <v>0</v>
      </c>
      <c r="V113" s="38">
        <f>VLOOKUP(обед8,таб,41,FALSE)</f>
        <v>0</v>
      </c>
      <c r="W113" s="38">
        <f>VLOOKUP(полдник1,таб,41,FALSE)</f>
        <v>0</v>
      </c>
      <c r="X113" s="38">
        <f>VLOOKUP(полдник2,таб,41,FALSE)</f>
        <v>0</v>
      </c>
      <c r="Y113" s="95">
        <f>VLOOKUP(полдник3,таб,41,FALSE)</f>
        <v>0</v>
      </c>
      <c r="Z113" s="39">
        <f>VLOOKUP(ужин1,таб,41,FALSE)</f>
        <v>0</v>
      </c>
      <c r="AA113" s="37">
        <f>VLOOKUP(ужин2,таб,41,FALSE)</f>
        <v>0</v>
      </c>
      <c r="AB113" s="38">
        <f>VLOOKUP(ужин3,таб,41,FALSE)</f>
        <v>0</v>
      </c>
      <c r="AC113" s="37">
        <f>VLOOKUP(ужин4,таб,41,FALSE)</f>
        <v>0</v>
      </c>
      <c r="AD113" s="38">
        <f>VLOOKUP(ужин5,таб,41,FALSE)</f>
        <v>0</v>
      </c>
      <c r="AE113" s="37">
        <f>VLOOKUP(ужин6,таб,41,FALSE)</f>
        <v>0</v>
      </c>
      <c r="AF113" s="38">
        <f>VLOOKUP(ужин7,таб,41,FALSE)</f>
        <v>0</v>
      </c>
      <c r="AG113" s="95">
        <f>VLOOKUP(ужин8,таб,41,FALSE)</f>
        <v>0</v>
      </c>
      <c r="AH113" s="152"/>
      <c r="AI113" s="161">
        <f>AK113/сред</f>
        <v>0</v>
      </c>
      <c r="AJ113" s="162"/>
      <c r="AK113" s="154">
        <f>SUM(G114:AG114)</f>
        <v>0</v>
      </c>
      <c r="AL113" s="154"/>
      <c r="AM113" s="213">
        <f>IF(AK113=0,0,CE117)</f>
        <v>0</v>
      </c>
      <c r="AN113" s="155">
        <f>AK113*AM113</f>
        <v>0</v>
      </c>
      <c r="AP113">
        <v>112</v>
      </c>
      <c r="AQ113" s="62" t="s">
        <v>168</v>
      </c>
      <c r="AR113" s="61"/>
      <c r="AS113" s="61"/>
      <c r="AT113" s="61"/>
      <c r="AU113" s="61"/>
      <c r="AV113" s="61"/>
      <c r="AW113" s="61"/>
      <c r="AX113" s="61"/>
      <c r="AY113" s="61"/>
      <c r="AZ113" s="61"/>
      <c r="BA113" s="61"/>
      <c r="BB113" s="61"/>
      <c r="BC113" s="61"/>
      <c r="BD113" s="61"/>
      <c r="BE113" s="61"/>
      <c r="BF113" s="61"/>
      <c r="BG113" s="61"/>
      <c r="BH113" s="61"/>
      <c r="BI113" s="61"/>
      <c r="BJ113" s="61"/>
      <c r="BK113" s="61"/>
      <c r="BL113" s="61"/>
      <c r="BM113" s="61"/>
      <c r="BN113" s="61"/>
      <c r="BO113" s="61"/>
      <c r="BP113" s="61"/>
      <c r="BQ113" s="61"/>
      <c r="BR113" s="61"/>
      <c r="BS113" s="61"/>
      <c r="BT113" s="61"/>
      <c r="BU113" s="61"/>
      <c r="BV113" s="61"/>
      <c r="BW113" s="61"/>
      <c r="BX113" s="61"/>
      <c r="BY113" s="61"/>
      <c r="BZ113" s="61"/>
      <c r="CA113" s="61"/>
      <c r="CB113" s="61"/>
      <c r="CC113" s="61"/>
      <c r="CD113" s="61"/>
      <c r="CE113" s="61"/>
      <c r="CF113" s="61"/>
      <c r="CG113" s="61"/>
      <c r="CH113" s="61"/>
      <c r="CI113" s="61"/>
      <c r="CJ113" s="61"/>
      <c r="CK113" s="61"/>
      <c r="CL113" s="61"/>
      <c r="CM113" s="61"/>
      <c r="CN113" s="61"/>
      <c r="CO113" s="61"/>
      <c r="CP113" s="61">
        <v>100</v>
      </c>
      <c r="CQ113" s="61"/>
      <c r="CR113" s="61"/>
      <c r="CS113" s="61"/>
      <c r="CT113" s="61"/>
      <c r="CU113" s="61"/>
      <c r="CV113" s="61"/>
      <c r="CW113" s="61"/>
      <c r="CX113" s="61"/>
      <c r="CY113" s="61"/>
      <c r="CZ113" s="61"/>
      <c r="DA113" s="61"/>
      <c r="DB113" s="61"/>
      <c r="DC113" s="61"/>
      <c r="DD113" s="61"/>
      <c r="DE113" s="61">
        <v>100</v>
      </c>
      <c r="DF113" s="61"/>
      <c r="DG113" s="61"/>
      <c r="DH113" s="61"/>
      <c r="DI113" s="61"/>
      <c r="DJ113" s="61"/>
      <c r="DK113" s="61"/>
      <c r="DL113" s="61"/>
      <c r="DM113" s="61"/>
      <c r="DN113" s="61"/>
      <c r="DO113" s="61"/>
      <c r="DP113" s="61"/>
      <c r="DQ113" s="61"/>
      <c r="DR113" s="61"/>
      <c r="DS113" s="61"/>
      <c r="DT113" s="61"/>
      <c r="DU113" s="61"/>
      <c r="DV113" s="61"/>
      <c r="DW113" s="61"/>
      <c r="DX113" s="61"/>
      <c r="DY113" s="61"/>
    </row>
    <row r="114" spans="1:129" ht="30.75" customHeight="1">
      <c r="A114" s="195"/>
      <c r="B114" s="195"/>
      <c r="C114" s="195"/>
      <c r="D114" s="195"/>
      <c r="E114" s="196"/>
      <c r="F114" s="66" t="s">
        <v>199</v>
      </c>
      <c r="G114" s="81">
        <f aca="true" t="shared" si="131" ref="G114:N114">IF(G113=0,"",завтракл*G113/1000)</f>
      </c>
      <c r="H114" s="49">
        <f t="shared" si="131"/>
      </c>
      <c r="I114" s="45">
        <f t="shared" si="131"/>
      </c>
      <c r="J114" s="49">
        <f t="shared" si="131"/>
      </c>
      <c r="K114" s="45">
        <f t="shared" si="131"/>
      </c>
      <c r="L114" s="45">
        <f t="shared" si="131"/>
      </c>
      <c r="M114" s="46">
        <f t="shared" si="131"/>
      </c>
      <c r="N114" s="89">
        <f t="shared" si="131"/>
      </c>
      <c r="O114" s="50">
        <f aca="true" t="shared" si="132" ref="O114:V114">IF(O113=0,"",обідл*O113/1000)</f>
      </c>
      <c r="P114" s="45">
        <f t="shared" si="132"/>
      </c>
      <c r="Q114" s="49">
        <f t="shared" si="132"/>
      </c>
      <c r="R114" s="45">
        <f t="shared" si="132"/>
      </c>
      <c r="S114" s="49">
        <f t="shared" si="132"/>
      </c>
      <c r="T114" s="45">
        <f t="shared" si="132"/>
      </c>
      <c r="U114" s="49">
        <f t="shared" si="132"/>
      </c>
      <c r="V114" s="45">
        <f t="shared" si="132"/>
      </c>
      <c r="W114" s="45">
        <f>IF(W113=0,"",полдникл*W113/1000)</f>
      </c>
      <c r="X114" s="45">
        <f>IF(X113=0,"",полдникл*X113/1000)</f>
      </c>
      <c r="Y114" s="92">
        <f>IF(Y113=0,"",полдникл*Y113/1000)</f>
      </c>
      <c r="Z114" s="50">
        <f aca="true" t="shared" si="133" ref="Z114:AG114">IF(Z113=0,"",ужинл*Z113/1000)</f>
      </c>
      <c r="AA114" s="49">
        <f t="shared" si="133"/>
      </c>
      <c r="AB114" s="45">
        <f t="shared" si="133"/>
      </c>
      <c r="AC114" s="49">
        <f t="shared" si="133"/>
      </c>
      <c r="AD114" s="45">
        <f t="shared" si="133"/>
      </c>
      <c r="AE114" s="49">
        <f t="shared" si="133"/>
      </c>
      <c r="AF114" s="45">
        <f t="shared" si="133"/>
      </c>
      <c r="AG114" s="92">
        <f t="shared" si="133"/>
      </c>
      <c r="AH114" s="153"/>
      <c r="AI114" s="161"/>
      <c r="AJ114" s="162"/>
      <c r="AK114" s="154"/>
      <c r="AL114" s="154"/>
      <c r="AM114" s="214"/>
      <c r="AN114" s="156"/>
      <c r="AP114">
        <v>113</v>
      </c>
      <c r="AQ114" s="62"/>
      <c r="AR114" s="61"/>
      <c r="AS114" s="61"/>
      <c r="AT114" s="61"/>
      <c r="AU114" s="61"/>
      <c r="AV114" s="61"/>
      <c r="AW114" s="61"/>
      <c r="AX114" s="61"/>
      <c r="AY114" s="61"/>
      <c r="AZ114" s="61"/>
      <c r="BA114" s="61"/>
      <c r="BB114" s="61"/>
      <c r="BC114" s="61"/>
      <c r="BD114" s="61"/>
      <c r="BE114" s="61"/>
      <c r="BF114" s="61"/>
      <c r="BG114" s="61"/>
      <c r="BH114" s="61"/>
      <c r="BI114" s="61"/>
      <c r="BJ114" s="61"/>
      <c r="BK114" s="61"/>
      <c r="BL114" s="61"/>
      <c r="BM114" s="61"/>
      <c r="BN114" s="61"/>
      <c r="BO114" s="61"/>
      <c r="BP114" s="61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61"/>
      <c r="CC114" s="61"/>
      <c r="CD114" s="61"/>
      <c r="CE114" s="61"/>
      <c r="CF114" s="61"/>
      <c r="CG114" s="61"/>
      <c r="CH114" s="61"/>
      <c r="CI114" s="61"/>
      <c r="CJ114" s="61"/>
      <c r="CK114" s="61"/>
      <c r="CL114" s="61"/>
      <c r="CM114" s="61"/>
      <c r="CN114" s="61"/>
      <c r="CO114" s="61"/>
      <c r="CP114" s="61"/>
      <c r="CQ114" s="61"/>
      <c r="CR114" s="61"/>
      <c r="CS114" s="61"/>
      <c r="CT114" s="61"/>
      <c r="CU114" s="61"/>
      <c r="CV114" s="61"/>
      <c r="CW114" s="61"/>
      <c r="CX114" s="61"/>
      <c r="CY114" s="61"/>
      <c r="CZ114" s="61"/>
      <c r="DA114" s="61"/>
      <c r="DB114" s="61"/>
      <c r="DC114" s="61"/>
      <c r="DD114" s="61"/>
      <c r="DE114" s="61">
        <v>200</v>
      </c>
      <c r="DF114" s="61"/>
      <c r="DG114" s="61"/>
      <c r="DH114" s="61"/>
      <c r="DI114" s="61"/>
      <c r="DJ114" s="61"/>
      <c r="DK114" s="61"/>
      <c r="DL114" s="61"/>
      <c r="DM114" s="61"/>
      <c r="DN114" s="61"/>
      <c r="DO114" s="61"/>
      <c r="DP114" s="61"/>
      <c r="DQ114" s="61"/>
      <c r="DR114" s="61"/>
      <c r="DS114" s="61"/>
      <c r="DT114" s="61"/>
      <c r="DU114" s="61"/>
      <c r="DV114" s="61"/>
      <c r="DW114" s="61"/>
      <c r="DX114" s="61"/>
      <c r="DY114" s="61"/>
    </row>
    <row r="115" spans="1:129" ht="30.75" customHeight="1">
      <c r="A115" s="167" t="s">
        <v>45</v>
      </c>
      <c r="B115" s="167"/>
      <c r="C115" s="167"/>
      <c r="D115" s="167"/>
      <c r="E115" s="168"/>
      <c r="F115" s="71" t="s">
        <v>198</v>
      </c>
      <c r="G115" s="78">
        <f>VLOOKUP(завтрак1,таб,42,FALSE)</f>
        <v>0</v>
      </c>
      <c r="H115" s="34">
        <f>VLOOKUP(завтрак2,таб,42,FALSE)</f>
        <v>0</v>
      </c>
      <c r="I115" s="35">
        <f>VLOOKUP(завтрак3,таб,42,FALSE)</f>
        <v>0</v>
      </c>
      <c r="J115" s="34">
        <f>VLOOKUP(завтрак4,таб,42,FALSE)</f>
        <v>0</v>
      </c>
      <c r="K115" s="35">
        <f>VLOOKUP(завтрак5,таб,42,FALSE)</f>
        <v>0</v>
      </c>
      <c r="L115" s="35">
        <f>VLOOKUP(завтрак6,таб,42,FALSE)</f>
        <v>0</v>
      </c>
      <c r="M115" s="28">
        <f>VLOOKUP(завтрак7,таб,42,FALSE)</f>
        <v>300</v>
      </c>
      <c r="N115" s="88">
        <f>VLOOKUP(завтрак8,таб,42,FALSE)</f>
        <v>0</v>
      </c>
      <c r="O115" s="36">
        <f>VLOOKUP(обед1,таб,42,FALSE)</f>
        <v>0</v>
      </c>
      <c r="P115" s="35">
        <f>VLOOKUP(обед2,таб,42,FALSE)</f>
        <v>0</v>
      </c>
      <c r="Q115" s="34">
        <f>VLOOKUP(обед3,таб,42,FALSE)</f>
        <v>0</v>
      </c>
      <c r="R115" s="35">
        <f>VLOOKUP(обед4,таб,42,FALSE)</f>
        <v>0</v>
      </c>
      <c r="S115" s="34">
        <f>VLOOKUP(обед5,таб,42,FALSE)</f>
        <v>0</v>
      </c>
      <c r="T115" s="35">
        <f>VLOOKUP(обед6,таб,42,FALSE)</f>
        <v>0</v>
      </c>
      <c r="U115" s="34">
        <f>VLOOKUP(обед7,таб,42,FALSE)</f>
        <v>0</v>
      </c>
      <c r="V115" s="35">
        <f>VLOOKUP(обед8,таб,42,FALSE)</f>
        <v>0</v>
      </c>
      <c r="W115" s="35">
        <f>VLOOKUP(полдник1,таб,42,FALSE)</f>
        <v>0</v>
      </c>
      <c r="X115" s="35">
        <f>VLOOKUP(полдник2,таб,42,FALSE)</f>
        <v>0</v>
      </c>
      <c r="Y115" s="94">
        <f>VLOOKUP(полдник3,таб,42,FALSE)</f>
        <v>0</v>
      </c>
      <c r="Z115" s="36">
        <f>VLOOKUP(ужин1,таб,42,FALSE)</f>
        <v>0</v>
      </c>
      <c r="AA115" s="34">
        <f>VLOOKUP(ужин2,таб,42,FALSE)</f>
        <v>0</v>
      </c>
      <c r="AB115" s="35">
        <f>VLOOKUP(ужин3,таб,42,FALSE)</f>
        <v>0</v>
      </c>
      <c r="AC115" s="34">
        <f>VLOOKUP(ужин4,таб,42,FALSE)</f>
        <v>0</v>
      </c>
      <c r="AD115" s="35">
        <f>VLOOKUP(ужин5,таб,42,FALSE)</f>
        <v>0</v>
      </c>
      <c r="AE115" s="34">
        <f>VLOOKUP(ужин6,таб,42,FALSE)</f>
        <v>0</v>
      </c>
      <c r="AF115" s="35">
        <f>VLOOKUP(ужин7,таб,42,FALSE)</f>
        <v>0</v>
      </c>
      <c r="AG115" s="94">
        <f>VLOOKUP(ужин8,таб,42,FALSE)</f>
        <v>0</v>
      </c>
      <c r="AH115" s="152">
        <v>615054</v>
      </c>
      <c r="AI115" s="161">
        <f>AK115/сред</f>
        <v>0.3</v>
      </c>
      <c r="AJ115" s="162"/>
      <c r="AK115" s="154">
        <f>SUM(G116:AG116)</f>
        <v>4.8</v>
      </c>
      <c r="AL115" s="154"/>
      <c r="AM115" s="213">
        <f>IF(AK115=0,0,CF117)</f>
        <v>16.9</v>
      </c>
      <c r="AN115" s="155">
        <f>AK115*AM115</f>
        <v>81.11999999999999</v>
      </c>
      <c r="AP115">
        <v>114</v>
      </c>
      <c r="AQ115" s="62" t="s">
        <v>200</v>
      </c>
      <c r="AR115" s="61"/>
      <c r="AS115" s="61"/>
      <c r="AT115" s="61"/>
      <c r="AU115" s="61"/>
      <c r="AV115" s="61"/>
      <c r="AW115" s="61"/>
      <c r="AX115" s="61"/>
      <c r="AY115" s="61"/>
      <c r="AZ115" s="61"/>
      <c r="BA115" s="61"/>
      <c r="BB115" s="61"/>
      <c r="BC115" s="61"/>
      <c r="BD115" s="61"/>
      <c r="BE115" s="61"/>
      <c r="BF115" s="61"/>
      <c r="BG115" s="61"/>
      <c r="BH115" s="61"/>
      <c r="BI115" s="61"/>
      <c r="BJ115" s="61"/>
      <c r="BK115" s="61"/>
      <c r="BL115" s="61"/>
      <c r="BM115" s="61"/>
      <c r="BN115" s="61"/>
      <c r="BO115" s="61"/>
      <c r="BP115" s="61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1"/>
      <c r="CQ115" s="61"/>
      <c r="CR115" s="61"/>
      <c r="CS115" s="61"/>
      <c r="CT115" s="61"/>
      <c r="CU115" s="61"/>
      <c r="CV115" s="61"/>
      <c r="CW115" s="61"/>
      <c r="CX115" s="61"/>
      <c r="CY115" s="61"/>
      <c r="CZ115" s="61"/>
      <c r="DA115" s="61"/>
      <c r="DB115" s="61"/>
      <c r="DC115" s="61"/>
      <c r="DD115" s="61"/>
      <c r="DE115" s="61" t="s">
        <v>101</v>
      </c>
      <c r="DF115" s="61"/>
      <c r="DG115" s="61"/>
      <c r="DH115" s="61"/>
      <c r="DI115" s="61"/>
      <c r="DJ115" s="61"/>
      <c r="DK115" s="61"/>
      <c r="DL115" s="61"/>
      <c r="DM115" s="61"/>
      <c r="DN115" s="61"/>
      <c r="DO115" s="61"/>
      <c r="DP115" s="61"/>
      <c r="DQ115" s="61"/>
      <c r="DR115" s="61"/>
      <c r="DS115" s="61"/>
      <c r="DT115" s="61"/>
      <c r="DU115" s="61"/>
      <c r="DV115" s="61"/>
      <c r="DW115" s="61"/>
      <c r="DX115" s="61"/>
      <c r="DY115" s="61"/>
    </row>
    <row r="116" spans="1:129" ht="30.75" customHeight="1">
      <c r="A116" s="167"/>
      <c r="B116" s="167"/>
      <c r="C116" s="167"/>
      <c r="D116" s="167"/>
      <c r="E116" s="168"/>
      <c r="F116" s="66" t="s">
        <v>199</v>
      </c>
      <c r="G116" s="79">
        <f aca="true" t="shared" si="134" ref="G116:N116">IF(G115=0,"",завтракл*G115/1000)</f>
      </c>
      <c r="H116" s="47">
        <f t="shared" si="134"/>
      </c>
      <c r="I116" s="46">
        <f t="shared" si="134"/>
      </c>
      <c r="J116" s="47">
        <f t="shared" si="134"/>
      </c>
      <c r="K116" s="46">
        <f t="shared" si="134"/>
      </c>
      <c r="L116" s="46">
        <f t="shared" si="134"/>
      </c>
      <c r="M116" s="46">
        <f t="shared" si="134"/>
        <v>4.8</v>
      </c>
      <c r="N116" s="89">
        <f t="shared" si="134"/>
      </c>
      <c r="O116" s="48">
        <f aca="true" t="shared" si="135" ref="O116:V116">IF(O115=0,"",обідл*O115/1000)</f>
      </c>
      <c r="P116" s="46">
        <f t="shared" si="135"/>
      </c>
      <c r="Q116" s="47">
        <f t="shared" si="135"/>
      </c>
      <c r="R116" s="46">
        <f t="shared" si="135"/>
      </c>
      <c r="S116" s="47">
        <f t="shared" si="135"/>
      </c>
      <c r="T116" s="46">
        <f t="shared" si="135"/>
      </c>
      <c r="U116" s="47">
        <f t="shared" si="135"/>
      </c>
      <c r="V116" s="46">
        <f t="shared" si="135"/>
      </c>
      <c r="W116" s="46">
        <f>IF(W115=0,"",полдникл*W115/1000)</f>
      </c>
      <c r="X116" s="46">
        <f>IF(X115=0,"",полдникл*X115/1000)</f>
      </c>
      <c r="Y116" s="89">
        <f>IF(Y115=0,"",полдникл*Y115/1000)</f>
      </c>
      <c r="Z116" s="48">
        <f aca="true" t="shared" si="136" ref="Z116:AG116">IF(Z115=0,"",ужинл*Z115/1000)</f>
      </c>
      <c r="AA116" s="47">
        <f t="shared" si="136"/>
      </c>
      <c r="AB116" s="46">
        <f t="shared" si="136"/>
      </c>
      <c r="AC116" s="47">
        <f t="shared" si="136"/>
      </c>
      <c r="AD116" s="46">
        <f t="shared" si="136"/>
      </c>
      <c r="AE116" s="47">
        <f t="shared" si="136"/>
      </c>
      <c r="AF116" s="46">
        <f t="shared" si="136"/>
      </c>
      <c r="AG116" s="89">
        <f t="shared" si="136"/>
      </c>
      <c r="AH116" s="153"/>
      <c r="AI116" s="161"/>
      <c r="AJ116" s="162"/>
      <c r="AK116" s="154"/>
      <c r="AL116" s="154"/>
      <c r="AM116" s="214"/>
      <c r="AN116" s="156"/>
      <c r="AP116">
        <v>115</v>
      </c>
      <c r="AQ116" s="62" t="s">
        <v>351</v>
      </c>
      <c r="AR116" s="61"/>
      <c r="AS116" s="61"/>
      <c r="AT116" s="61"/>
      <c r="AU116" s="61"/>
      <c r="AV116" s="61"/>
      <c r="AW116" s="61"/>
      <c r="AX116" s="61"/>
      <c r="AY116" s="61"/>
      <c r="AZ116" s="61"/>
      <c r="BA116" s="61"/>
      <c r="BB116" s="61"/>
      <c r="BC116" s="61"/>
      <c r="BD116" s="61"/>
      <c r="BE116" s="61"/>
      <c r="BF116" s="61"/>
      <c r="BG116" s="61"/>
      <c r="BH116" s="61"/>
      <c r="BI116" s="61"/>
      <c r="BJ116" s="61"/>
      <c r="BK116" s="61"/>
      <c r="BL116" s="61"/>
      <c r="BM116" s="61"/>
      <c r="BN116" s="61"/>
      <c r="BO116" s="61"/>
      <c r="BP116" s="61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61"/>
      <c r="CC116" s="61"/>
      <c r="CD116" s="61"/>
      <c r="CE116" s="61"/>
      <c r="CF116" s="61"/>
      <c r="CG116" s="61"/>
      <c r="CH116" s="61"/>
      <c r="CI116" s="61"/>
      <c r="CJ116" s="61"/>
      <c r="CK116" s="61"/>
      <c r="CL116" s="61"/>
      <c r="CM116" s="61"/>
      <c r="CN116" s="61"/>
      <c r="CO116" s="61"/>
      <c r="CP116" s="61"/>
      <c r="CQ116" s="61"/>
      <c r="CR116" s="61"/>
      <c r="CS116" s="61">
        <v>3</v>
      </c>
      <c r="CT116" s="61"/>
      <c r="CU116" s="61"/>
      <c r="CV116" s="61"/>
      <c r="CW116" s="61"/>
      <c r="CX116" s="61"/>
      <c r="CY116" s="61"/>
      <c r="CZ116" s="61"/>
      <c r="DA116" s="61"/>
      <c r="DB116" s="61"/>
      <c r="DC116" s="61"/>
      <c r="DD116" s="61"/>
      <c r="DE116" s="61">
        <v>3</v>
      </c>
      <c r="DF116" s="61"/>
      <c r="DG116" s="61"/>
      <c r="DH116" s="61"/>
      <c r="DI116" s="61"/>
      <c r="DJ116" s="61"/>
      <c r="DK116" s="61"/>
      <c r="DL116" s="61"/>
      <c r="DM116" s="61"/>
      <c r="DN116" s="61"/>
      <c r="DO116" s="61"/>
      <c r="DP116" s="61"/>
      <c r="DQ116" s="61"/>
      <c r="DR116" s="61"/>
      <c r="DS116" s="61"/>
      <c r="DT116" s="61"/>
      <c r="DU116" s="61"/>
      <c r="DV116" s="61"/>
      <c r="DW116" s="61"/>
      <c r="DX116" s="61"/>
      <c r="DY116" s="61"/>
    </row>
    <row r="117" spans="1:129" ht="30.75" customHeight="1">
      <c r="A117" s="191" t="s">
        <v>347</v>
      </c>
      <c r="B117" s="191"/>
      <c r="C117" s="191"/>
      <c r="D117" s="191"/>
      <c r="E117" s="192"/>
      <c r="F117" s="71" t="s">
        <v>198</v>
      </c>
      <c r="G117" s="80">
        <f>VLOOKUP(завтрак1,таб,75,FALSE)</f>
        <v>0</v>
      </c>
      <c r="H117" s="37">
        <f>VLOOKUP(завтрак2,таб,75,FALSE)</f>
        <v>0</v>
      </c>
      <c r="I117" s="38">
        <f>VLOOKUP(завтрак3,таб,75,FALSE)</f>
        <v>0</v>
      </c>
      <c r="J117" s="37">
        <f>VLOOKUP(завтрак4,таб,75,FALSE)</f>
        <v>0</v>
      </c>
      <c r="K117" s="38">
        <f>VLOOKUP(завтрак5,таб,75,FALSE)</f>
        <v>0</v>
      </c>
      <c r="L117" s="38">
        <f>VLOOKUP(завтрак6,таб,75,FALSE)</f>
        <v>0</v>
      </c>
      <c r="M117" s="28">
        <f>VLOOKUP(завтрак7,таб,75,FALSE)</f>
        <v>0</v>
      </c>
      <c r="N117" s="88">
        <f>VLOOKUP(завтрак8,таб,75,FALSE)</f>
        <v>0</v>
      </c>
      <c r="O117" s="39">
        <f>VLOOKUP(обед1,таб,75,FALSE)</f>
        <v>0</v>
      </c>
      <c r="P117" s="38">
        <f>VLOOKUP(обед2,таб,75,FALSE)</f>
        <v>0</v>
      </c>
      <c r="Q117" s="37">
        <f>VLOOKUP(обед3,таб,75,FALSE)</f>
        <v>0</v>
      </c>
      <c r="R117" s="38">
        <f>VLOOKUP(обед4,таб,75,FALSE)</f>
        <v>0</v>
      </c>
      <c r="S117" s="37">
        <f>VLOOKUP(обед5,таб,75,FALSE)</f>
        <v>0</v>
      </c>
      <c r="T117" s="38">
        <f>VLOOKUP(обед6,таб,75,FALSE)</f>
        <v>0</v>
      </c>
      <c r="U117" s="37">
        <f>VLOOKUP(обед7,таб,75,FALSE)</f>
        <v>0</v>
      </c>
      <c r="V117" s="38">
        <f>VLOOKUP(обед8,таб,75,FALSE)</f>
        <v>0</v>
      </c>
      <c r="W117" s="38">
        <f>VLOOKUP(полдник1,таб,75,FALSE)</f>
        <v>0</v>
      </c>
      <c r="X117" s="38">
        <f>VLOOKUP(полдник2,таб,75,FALSE)</f>
        <v>0</v>
      </c>
      <c r="Y117" s="95">
        <f>VLOOKUP(полдник3,таб,75,FALSE)</f>
        <v>0</v>
      </c>
      <c r="Z117" s="39">
        <f>VLOOKUP(ужин1,таб,75,FALSE)</f>
        <v>0</v>
      </c>
      <c r="AA117" s="37">
        <f>VLOOKUP(ужин2,таб,75,FALSE)</f>
        <v>0</v>
      </c>
      <c r="AB117" s="38">
        <f>VLOOKUP(ужин3,таб,75,FALSE)</f>
        <v>0</v>
      </c>
      <c r="AC117" s="37">
        <f>VLOOKUP(ужин4,таб,75,FALSE)</f>
        <v>0</v>
      </c>
      <c r="AD117" s="38">
        <f>VLOOKUP(ужин5,таб,75,FALSE)</f>
        <v>0</v>
      </c>
      <c r="AE117" s="37">
        <f>VLOOKUP(ужин6,таб,75,FALSE)</f>
        <v>0</v>
      </c>
      <c r="AF117" s="38">
        <f>VLOOKUP(ужин7,таб,75,FALSE)</f>
        <v>0</v>
      </c>
      <c r="AG117" s="95">
        <f>VLOOKUP(ужин8,таб,75,FALSE)</f>
        <v>0</v>
      </c>
      <c r="AH117" s="152"/>
      <c r="AI117" s="161">
        <f>AK117/сред</f>
        <v>0</v>
      </c>
      <c r="AJ117" s="162"/>
      <c r="AK117" s="154">
        <f>SUM(G118:AG118)</f>
        <v>0</v>
      </c>
      <c r="AL117" s="154"/>
      <c r="AM117" s="213">
        <f>IF(AK117=0,0,DM117)</f>
        <v>0</v>
      </c>
      <c r="AN117" s="155">
        <f>AK117*AM117</f>
        <v>0</v>
      </c>
      <c r="AQ117" s="98" t="s">
        <v>213</v>
      </c>
      <c r="AR117" s="62">
        <v>115</v>
      </c>
      <c r="AS117" s="62">
        <v>118</v>
      </c>
      <c r="AT117" s="62">
        <v>63.9</v>
      </c>
      <c r="AU117" s="62">
        <v>48</v>
      </c>
      <c r="AV117" s="62">
        <v>92</v>
      </c>
      <c r="AW117" s="62">
        <v>54</v>
      </c>
      <c r="AX117" s="62">
        <v>85</v>
      </c>
      <c r="AY117" s="62">
        <v>81.22</v>
      </c>
      <c r="AZ117" s="62">
        <v>205.5</v>
      </c>
      <c r="BA117" s="62"/>
      <c r="BB117" s="62"/>
      <c r="BC117" s="62">
        <v>33.6</v>
      </c>
      <c r="BD117" s="62">
        <v>25.6</v>
      </c>
      <c r="BE117" s="97">
        <v>80.54</v>
      </c>
      <c r="BF117" s="62">
        <v>27.9</v>
      </c>
      <c r="BG117" s="62">
        <v>67.2</v>
      </c>
      <c r="BH117" s="62">
        <v>121</v>
      </c>
      <c r="BI117" s="62">
        <v>209</v>
      </c>
      <c r="BJ117" s="62">
        <v>2.1</v>
      </c>
      <c r="BK117" s="62">
        <v>15.5</v>
      </c>
      <c r="BL117" s="62">
        <v>10.6</v>
      </c>
      <c r="BM117" s="62">
        <v>75.5</v>
      </c>
      <c r="BN117" s="62">
        <v>19.7</v>
      </c>
      <c r="BO117" s="62">
        <v>14.2</v>
      </c>
      <c r="BP117" s="62">
        <v>12.25</v>
      </c>
      <c r="BQ117" s="62">
        <v>23.4</v>
      </c>
      <c r="BR117" s="62">
        <v>22.2</v>
      </c>
      <c r="BS117" s="62">
        <v>17</v>
      </c>
      <c r="BT117" s="62">
        <v>15.65</v>
      </c>
      <c r="BU117" s="62">
        <v>11.8</v>
      </c>
      <c r="BV117" s="62">
        <v>175</v>
      </c>
      <c r="BW117" s="62">
        <v>14</v>
      </c>
      <c r="BX117" s="62"/>
      <c r="BY117" s="62">
        <v>42</v>
      </c>
      <c r="BZ117" s="62">
        <v>78</v>
      </c>
      <c r="CA117" s="62">
        <v>51.5</v>
      </c>
      <c r="CB117" s="62">
        <v>72</v>
      </c>
      <c r="CC117" s="62">
        <v>98</v>
      </c>
      <c r="CD117" s="62">
        <v>24.8</v>
      </c>
      <c r="CE117" s="62">
        <v>110</v>
      </c>
      <c r="CF117" s="62">
        <v>16.9</v>
      </c>
      <c r="CG117" s="62">
        <v>13.1</v>
      </c>
      <c r="CH117" s="62">
        <v>6.9</v>
      </c>
      <c r="CI117" s="62">
        <v>10.5</v>
      </c>
      <c r="CJ117" s="62">
        <v>8</v>
      </c>
      <c r="CK117" s="62">
        <v>34</v>
      </c>
      <c r="CL117" s="97">
        <v>21.92</v>
      </c>
      <c r="CM117" s="62">
        <v>48.2</v>
      </c>
      <c r="CN117" s="62">
        <v>12</v>
      </c>
      <c r="CO117" s="62">
        <v>7</v>
      </c>
      <c r="CP117" s="62">
        <v>51</v>
      </c>
      <c r="CQ117" s="62">
        <v>11.04</v>
      </c>
      <c r="CR117" s="62">
        <v>9.33</v>
      </c>
      <c r="CS117" s="62">
        <v>142.85</v>
      </c>
      <c r="CT117" s="62">
        <v>15</v>
      </c>
      <c r="CU117" s="62">
        <v>230</v>
      </c>
      <c r="CV117" s="62">
        <v>145</v>
      </c>
      <c r="CW117" s="62">
        <v>288</v>
      </c>
      <c r="CX117" s="62">
        <v>306</v>
      </c>
      <c r="CY117" s="62">
        <v>6.33</v>
      </c>
      <c r="CZ117" s="62">
        <v>180</v>
      </c>
      <c r="DA117" s="62">
        <v>610</v>
      </c>
      <c r="DB117" s="62">
        <v>2300</v>
      </c>
      <c r="DC117" s="62">
        <v>86.67</v>
      </c>
      <c r="DD117" s="62">
        <v>69</v>
      </c>
      <c r="DE117" s="62"/>
      <c r="DF117" s="62">
        <v>23</v>
      </c>
      <c r="DG117" s="62">
        <v>68</v>
      </c>
      <c r="DH117" s="62">
        <v>46.5</v>
      </c>
      <c r="DI117" s="62">
        <v>39</v>
      </c>
      <c r="DJ117" s="62"/>
      <c r="DK117" s="62">
        <v>10.6</v>
      </c>
      <c r="DL117" s="62">
        <v>17</v>
      </c>
      <c r="DM117" s="62">
        <v>98</v>
      </c>
      <c r="DN117" s="62">
        <v>8.5</v>
      </c>
      <c r="DO117" s="62">
        <v>24</v>
      </c>
      <c r="DP117" s="62">
        <v>29.6</v>
      </c>
      <c r="DQ117" s="62">
        <v>40</v>
      </c>
      <c r="DR117" s="62">
        <v>29.6</v>
      </c>
      <c r="DS117" s="62">
        <v>40</v>
      </c>
      <c r="DT117" s="61"/>
      <c r="DU117" s="61"/>
      <c r="DV117" s="61"/>
      <c r="DW117" s="61"/>
      <c r="DX117" s="61">
        <v>45</v>
      </c>
      <c r="DY117" s="61">
        <v>6.8</v>
      </c>
    </row>
    <row r="118" spans="1:129" ht="30.75" customHeight="1">
      <c r="A118" s="195"/>
      <c r="B118" s="195"/>
      <c r="C118" s="195"/>
      <c r="D118" s="195"/>
      <c r="E118" s="196"/>
      <c r="F118" s="66" t="s">
        <v>199</v>
      </c>
      <c r="G118" s="81">
        <f aca="true" t="shared" si="137" ref="G118:N118">IF(G117=0,"",завтракл*G117/1000)</f>
      </c>
      <c r="H118" s="49">
        <f t="shared" si="137"/>
      </c>
      <c r="I118" s="45">
        <f t="shared" si="137"/>
      </c>
      <c r="J118" s="49">
        <f t="shared" si="137"/>
      </c>
      <c r="K118" s="45">
        <f t="shared" si="137"/>
      </c>
      <c r="L118" s="45">
        <f t="shared" si="137"/>
      </c>
      <c r="M118" s="46">
        <f t="shared" si="137"/>
      </c>
      <c r="N118" s="89">
        <f t="shared" si="137"/>
      </c>
      <c r="O118" s="50">
        <f aca="true" t="shared" si="138" ref="O118:V118">IF(O117=0,"",обідл*O117/1000)</f>
      </c>
      <c r="P118" s="45">
        <f t="shared" si="138"/>
      </c>
      <c r="Q118" s="49">
        <f t="shared" si="138"/>
      </c>
      <c r="R118" s="45">
        <f t="shared" si="138"/>
      </c>
      <c r="S118" s="49">
        <f t="shared" si="138"/>
      </c>
      <c r="T118" s="45">
        <f t="shared" si="138"/>
      </c>
      <c r="U118" s="49">
        <f t="shared" si="138"/>
      </c>
      <c r="V118" s="45">
        <f t="shared" si="138"/>
      </c>
      <c r="W118" s="45">
        <f>IF(W117=0,"",полдникл*W117/1000)</f>
      </c>
      <c r="X118" s="45">
        <f>IF(X117=0,"",полдникл*X117/1000)</f>
      </c>
      <c r="Y118" s="92">
        <f>IF(Y117=0,"",полдникл*Y117/1000)</f>
      </c>
      <c r="Z118" s="50">
        <f aca="true" t="shared" si="139" ref="Z118:AG118">IF(Z117=0,"",ужинл*Z117/1000)</f>
      </c>
      <c r="AA118" s="49">
        <f t="shared" si="139"/>
      </c>
      <c r="AB118" s="45">
        <f t="shared" si="139"/>
      </c>
      <c r="AC118" s="49">
        <f t="shared" si="139"/>
      </c>
      <c r="AD118" s="45">
        <f t="shared" si="139"/>
      </c>
      <c r="AE118" s="49">
        <f t="shared" si="139"/>
      </c>
      <c r="AF118" s="45">
        <f t="shared" si="139"/>
      </c>
      <c r="AG118" s="92">
        <f t="shared" si="139"/>
      </c>
      <c r="AH118" s="153"/>
      <c r="AI118" s="161"/>
      <c r="AJ118" s="162"/>
      <c r="AK118" s="154"/>
      <c r="AL118" s="154"/>
      <c r="AM118" s="214"/>
      <c r="AN118" s="156"/>
      <c r="AQ118" s="61"/>
      <c r="AR118" s="61" t="s">
        <v>13</v>
      </c>
      <c r="AS118" s="61" t="s">
        <v>6</v>
      </c>
      <c r="AT118" s="61" t="s">
        <v>14</v>
      </c>
      <c r="AU118" s="61" t="s">
        <v>254</v>
      </c>
      <c r="AV118" s="61" t="s">
        <v>15</v>
      </c>
      <c r="AW118" s="61" t="s">
        <v>339</v>
      </c>
      <c r="AX118" s="61" t="s">
        <v>17</v>
      </c>
      <c r="AY118" s="61" t="s">
        <v>255</v>
      </c>
      <c r="AZ118" s="61" t="s">
        <v>62</v>
      </c>
      <c r="BA118" s="61" t="s">
        <v>19</v>
      </c>
      <c r="BB118" s="61" t="s">
        <v>63</v>
      </c>
      <c r="BC118" s="61" t="s">
        <v>20</v>
      </c>
      <c r="BD118" s="61" t="s">
        <v>21</v>
      </c>
      <c r="BE118" s="61" t="s">
        <v>22</v>
      </c>
      <c r="BF118" s="61" t="s">
        <v>64</v>
      </c>
      <c r="BG118" s="61" t="s">
        <v>24</v>
      </c>
      <c r="BH118" s="61" t="s">
        <v>25</v>
      </c>
      <c r="BI118" s="61" t="s">
        <v>26</v>
      </c>
      <c r="BJ118" s="61" t="s">
        <v>27</v>
      </c>
      <c r="BK118" s="61" t="s">
        <v>28</v>
      </c>
      <c r="BL118" s="61" t="s">
        <v>135</v>
      </c>
      <c r="BM118" s="61" t="s">
        <v>29</v>
      </c>
      <c r="BN118" s="61" t="s">
        <v>30</v>
      </c>
      <c r="BO118" s="61" t="s">
        <v>31</v>
      </c>
      <c r="BP118" s="61" t="s">
        <v>35</v>
      </c>
      <c r="BQ118" s="61" t="s">
        <v>65</v>
      </c>
      <c r="BR118" s="61" t="s">
        <v>34</v>
      </c>
      <c r="BS118" s="61" t="s">
        <v>33</v>
      </c>
      <c r="BT118" s="61" t="s">
        <v>327</v>
      </c>
      <c r="BU118" s="61" t="s">
        <v>0</v>
      </c>
      <c r="BV118" s="61" t="s">
        <v>260</v>
      </c>
      <c r="BW118" s="61" t="s">
        <v>36</v>
      </c>
      <c r="BX118" s="61" t="s">
        <v>38</v>
      </c>
      <c r="BY118" s="61" t="s">
        <v>39</v>
      </c>
      <c r="BZ118" s="61" t="s">
        <v>40</v>
      </c>
      <c r="CA118" s="61" t="s">
        <v>41</v>
      </c>
      <c r="CB118" s="61" t="s">
        <v>42</v>
      </c>
      <c r="CC118" s="61" t="s">
        <v>243</v>
      </c>
      <c r="CD118" s="61" t="s">
        <v>43</v>
      </c>
      <c r="CE118" s="61" t="s">
        <v>44</v>
      </c>
      <c r="CF118" s="61" t="s">
        <v>45</v>
      </c>
      <c r="CG118" s="61" t="s">
        <v>46</v>
      </c>
      <c r="CH118" s="61" t="s">
        <v>332</v>
      </c>
      <c r="CI118" s="61" t="s">
        <v>47</v>
      </c>
      <c r="CJ118" s="61" t="s">
        <v>291</v>
      </c>
      <c r="CK118" s="61" t="s">
        <v>331</v>
      </c>
      <c r="CL118" s="61" t="s">
        <v>74</v>
      </c>
      <c r="CM118" s="61" t="s">
        <v>50</v>
      </c>
      <c r="CN118" s="61" t="s">
        <v>316</v>
      </c>
      <c r="CO118" s="61" t="s">
        <v>49</v>
      </c>
      <c r="CP118" s="61" t="s">
        <v>51</v>
      </c>
      <c r="CQ118" s="61" t="s">
        <v>214</v>
      </c>
      <c r="CR118" s="61" t="s">
        <v>215</v>
      </c>
      <c r="CS118" s="61" t="s">
        <v>351</v>
      </c>
      <c r="CT118" s="61" t="s">
        <v>344</v>
      </c>
      <c r="CU118" s="61" t="s">
        <v>321</v>
      </c>
      <c r="CV118" s="61" t="s">
        <v>55</v>
      </c>
      <c r="CW118" s="61" t="s">
        <v>54</v>
      </c>
      <c r="CX118" s="61" t="s">
        <v>2</v>
      </c>
      <c r="CY118" s="61" t="s">
        <v>56</v>
      </c>
      <c r="CZ118" s="61" t="s">
        <v>57</v>
      </c>
      <c r="DA118" s="61" t="s">
        <v>58</v>
      </c>
      <c r="DB118" s="61" t="s">
        <v>59</v>
      </c>
      <c r="DC118" s="61" t="s">
        <v>60</v>
      </c>
      <c r="DD118" s="61" t="s">
        <v>348</v>
      </c>
      <c r="DE118" s="61"/>
      <c r="DF118" s="61" t="s">
        <v>226</v>
      </c>
      <c r="DG118" s="61" t="s">
        <v>350</v>
      </c>
      <c r="DH118" s="61" t="s">
        <v>103</v>
      </c>
      <c r="DI118" s="61" t="s">
        <v>116</v>
      </c>
      <c r="DJ118" s="61" t="s">
        <v>150</v>
      </c>
      <c r="DK118" s="61" t="s">
        <v>123</v>
      </c>
      <c r="DL118" s="61" t="s">
        <v>139</v>
      </c>
      <c r="DM118" s="61" t="s">
        <v>347</v>
      </c>
      <c r="DN118" s="61" t="s">
        <v>316</v>
      </c>
      <c r="DO118" s="61" t="s">
        <v>283</v>
      </c>
      <c r="DP118" s="61" t="s">
        <v>228</v>
      </c>
      <c r="DQ118" s="61" t="s">
        <v>310</v>
      </c>
      <c r="DR118" s="61" t="s">
        <v>228</v>
      </c>
      <c r="DS118" s="61" t="s">
        <v>310</v>
      </c>
      <c r="DT118" s="61"/>
      <c r="DU118" s="61"/>
      <c r="DV118" s="61"/>
      <c r="DW118" s="61"/>
      <c r="DX118" s="61" t="s">
        <v>253</v>
      </c>
      <c r="DY118" s="61" t="s">
        <v>284</v>
      </c>
    </row>
    <row r="119" spans="1:129" ht="30.75" customHeight="1">
      <c r="A119" s="167" t="s">
        <v>290</v>
      </c>
      <c r="B119" s="167"/>
      <c r="C119" s="167"/>
      <c r="D119" s="167"/>
      <c r="E119" s="168"/>
      <c r="F119" s="71" t="s">
        <v>198</v>
      </c>
      <c r="G119" s="78"/>
      <c r="H119" s="34">
        <f>VLOOKUP(завтрак2,таб,76,FALSE)</f>
        <v>0</v>
      </c>
      <c r="I119" s="35"/>
      <c r="J119" s="34">
        <f>VLOOKUP(завтрак4,таб,76,FALSE)</f>
        <v>0</v>
      </c>
      <c r="K119" s="35">
        <f>VLOOKUP(завтрак5,таб,76,FALSE)</f>
        <v>0</v>
      </c>
      <c r="L119" s="35">
        <f>VLOOKUP(завтрак6,таб,76,FALSE)</f>
        <v>0</v>
      </c>
      <c r="M119" s="28">
        <f>VLOOKUP(завтрак7,таб,76,FALSE)</f>
        <v>0</v>
      </c>
      <c r="N119" s="88">
        <f>VLOOKUP(завтрак8,таб,76,FALSE)</f>
        <v>0</v>
      </c>
      <c r="O119" s="36">
        <f>VLOOKUP(обед1,таб,76,FALSE)</f>
        <v>0</v>
      </c>
      <c r="P119" s="35">
        <f>VLOOKUP(обед2,таб,76,FALSE)</f>
        <v>0</v>
      </c>
      <c r="Q119" s="34">
        <f>VLOOKUP(обед3,таб,76,FALSE)</f>
        <v>0</v>
      </c>
      <c r="R119" s="35">
        <f>VLOOKUP(обед4,таб,76,FALSE)</f>
        <v>0</v>
      </c>
      <c r="S119" s="34">
        <f>VLOOKUP(обед5,таб,76,FALSE)</f>
        <v>0</v>
      </c>
      <c r="T119" s="35">
        <f>VLOOKUP(обед6,таб,76,FALSE)</f>
        <v>0</v>
      </c>
      <c r="U119" s="34">
        <f>VLOOKUP(обед7,таб,76,FALSE)</f>
        <v>0</v>
      </c>
      <c r="V119" s="35">
        <f>VLOOKUP(обед8,таб,76,FALSE)</f>
        <v>0</v>
      </c>
      <c r="W119" s="35">
        <f>VLOOKUP(полдник1,таб,76,FALSE)</f>
        <v>0</v>
      </c>
      <c r="X119" s="35">
        <f>VLOOKUP(полдник2,таб,76,FALSE)</f>
        <v>0</v>
      </c>
      <c r="Y119" s="94">
        <f>VLOOKUP(полдник3,таб,76,FALSE)</f>
        <v>0</v>
      </c>
      <c r="Z119" s="36">
        <f>VLOOKUP(ужин1,таб,76,FALSE)</f>
        <v>0</v>
      </c>
      <c r="AA119" s="34">
        <f>VLOOKUP(ужин2,таб,76,FALSE)</f>
        <v>0</v>
      </c>
      <c r="AB119" s="35">
        <f>VLOOKUP(ужин3,таб,76,FALSE)</f>
        <v>0</v>
      </c>
      <c r="AC119" s="34">
        <f>VLOOKUP(ужин4,таб,76,FALSE)</f>
        <v>0</v>
      </c>
      <c r="AD119" s="35">
        <f>VLOOKUP(ужин5,таб,76,FALSE)</f>
        <v>0</v>
      </c>
      <c r="AE119" s="34">
        <f>VLOOKUP(ужин6,таб,76,FALSE)</f>
        <v>0</v>
      </c>
      <c r="AF119" s="35">
        <f>VLOOKUP(ужин7,таб,76,FALSE)</f>
        <v>0</v>
      </c>
      <c r="AG119" s="94">
        <f>VLOOKUP(ужин8,таб,76,FALSE)</f>
        <v>0</v>
      </c>
      <c r="AH119" s="152"/>
      <c r="AI119" s="161">
        <f>AK119/сред</f>
        <v>0</v>
      </c>
      <c r="AJ119" s="162"/>
      <c r="AK119" s="154">
        <f>SUM(G120:AG120)</f>
        <v>0</v>
      </c>
      <c r="AL119" s="154"/>
      <c r="AM119" s="213">
        <f>IF(AK119=0,0,DN117)</f>
        <v>0</v>
      </c>
      <c r="AN119" s="155">
        <f>AK119*AM119</f>
        <v>0</v>
      </c>
      <c r="AP119">
        <v>116</v>
      </c>
      <c r="AQ119" s="61" t="s">
        <v>217</v>
      </c>
      <c r="AR119" s="61">
        <v>0</v>
      </c>
      <c r="AS119" s="61">
        <v>0</v>
      </c>
      <c r="AT119" s="61">
        <v>0</v>
      </c>
      <c r="AU119" s="61">
        <v>0</v>
      </c>
      <c r="AV119" s="61">
        <v>0</v>
      </c>
      <c r="AW119" s="61">
        <v>0</v>
      </c>
      <c r="AX119" s="61">
        <v>0</v>
      </c>
      <c r="AY119" s="61">
        <v>0</v>
      </c>
      <c r="AZ119" s="61">
        <v>0</v>
      </c>
      <c r="BA119" s="61">
        <v>0</v>
      </c>
      <c r="BB119" s="61">
        <v>0</v>
      </c>
      <c r="BC119" s="61">
        <v>0</v>
      </c>
      <c r="BD119" s="61">
        <v>212</v>
      </c>
      <c r="BE119" s="61">
        <v>0</v>
      </c>
      <c r="BF119" s="61">
        <v>0</v>
      </c>
      <c r="BG119" s="61">
        <v>0</v>
      </c>
      <c r="BH119" s="61">
        <v>0</v>
      </c>
      <c r="BI119" s="61">
        <v>0</v>
      </c>
      <c r="BJ119" s="61">
        <v>0</v>
      </c>
      <c r="BK119" s="61">
        <v>0</v>
      </c>
      <c r="BL119" s="61">
        <v>0</v>
      </c>
      <c r="BM119" s="61">
        <v>0</v>
      </c>
      <c r="BN119" s="61">
        <v>0</v>
      </c>
      <c r="BO119" s="61">
        <v>0</v>
      </c>
      <c r="BP119" s="61">
        <v>0</v>
      </c>
      <c r="BQ119" s="61">
        <v>0</v>
      </c>
      <c r="BR119" s="61">
        <v>0</v>
      </c>
      <c r="BS119" s="61">
        <v>0</v>
      </c>
      <c r="BT119" s="61">
        <v>0</v>
      </c>
      <c r="BU119" s="61">
        <v>0</v>
      </c>
      <c r="BV119" s="61">
        <v>0</v>
      </c>
      <c r="BW119" s="61">
        <v>0</v>
      </c>
      <c r="BX119" s="61">
        <v>0</v>
      </c>
      <c r="BY119" s="61">
        <v>0</v>
      </c>
      <c r="BZ119" s="61">
        <v>0</v>
      </c>
      <c r="CA119" s="61">
        <v>0</v>
      </c>
      <c r="CB119" s="61">
        <v>0</v>
      </c>
      <c r="CC119" s="61">
        <v>0</v>
      </c>
      <c r="CD119" s="61">
        <v>0</v>
      </c>
      <c r="CE119" s="61">
        <v>0</v>
      </c>
      <c r="CF119" s="61">
        <v>0</v>
      </c>
      <c r="CG119" s="61">
        <v>0</v>
      </c>
      <c r="CH119" s="61">
        <v>0</v>
      </c>
      <c r="CI119" s="61">
        <v>0</v>
      </c>
      <c r="CJ119" s="61">
        <v>0</v>
      </c>
      <c r="CK119" s="61">
        <v>0</v>
      </c>
      <c r="CL119" s="61">
        <v>0</v>
      </c>
      <c r="CM119" s="61">
        <v>0</v>
      </c>
      <c r="CN119" s="61">
        <v>0</v>
      </c>
      <c r="CO119" s="61">
        <v>0</v>
      </c>
      <c r="CP119" s="61">
        <v>0</v>
      </c>
      <c r="CQ119" s="61">
        <v>0</v>
      </c>
      <c r="CR119" s="61">
        <v>0</v>
      </c>
      <c r="CS119" s="61">
        <v>0</v>
      </c>
      <c r="CT119" s="61">
        <v>0</v>
      </c>
      <c r="CU119" s="61">
        <v>0</v>
      </c>
      <c r="CV119" s="61">
        <v>0</v>
      </c>
      <c r="CW119" s="61">
        <v>0</v>
      </c>
      <c r="CX119" s="61">
        <v>0</v>
      </c>
      <c r="CY119" s="61">
        <v>0</v>
      </c>
      <c r="CZ119" s="61">
        <v>0</v>
      </c>
      <c r="DA119" s="61">
        <v>0</v>
      </c>
      <c r="DB119" s="61">
        <v>0</v>
      </c>
      <c r="DC119" s="61">
        <v>0</v>
      </c>
      <c r="DD119" s="61">
        <v>0</v>
      </c>
      <c r="DE119" s="61">
        <v>200</v>
      </c>
      <c r="DF119" s="61">
        <v>0</v>
      </c>
      <c r="DG119" s="61"/>
      <c r="DH119" s="61"/>
      <c r="DI119" s="61"/>
      <c r="DJ119" s="61"/>
      <c r="DK119" s="61"/>
      <c r="DL119" s="61"/>
      <c r="DM119" s="61"/>
      <c r="DN119" s="61"/>
      <c r="DO119" s="61"/>
      <c r="DP119" s="61"/>
      <c r="DQ119" s="61"/>
      <c r="DR119" s="61"/>
      <c r="DS119" s="61"/>
      <c r="DT119" s="61"/>
      <c r="DU119" s="61"/>
      <c r="DV119" s="61"/>
      <c r="DW119" s="61"/>
      <c r="DX119" s="61"/>
      <c r="DY119" s="61"/>
    </row>
    <row r="120" spans="1:129" ht="30.75" customHeight="1">
      <c r="A120" s="167"/>
      <c r="B120" s="167"/>
      <c r="C120" s="167"/>
      <c r="D120" s="167"/>
      <c r="E120" s="168"/>
      <c r="F120" s="66" t="s">
        <v>199</v>
      </c>
      <c r="G120" s="79">
        <f aca="true" t="shared" si="140" ref="G120:N120">IF(G119=0,"",завтракл*G119/1000)</f>
      </c>
      <c r="H120" s="47">
        <f t="shared" si="140"/>
      </c>
      <c r="I120" s="46">
        <f t="shared" si="140"/>
      </c>
      <c r="J120" s="47">
        <f t="shared" si="140"/>
      </c>
      <c r="K120" s="46">
        <f t="shared" si="140"/>
      </c>
      <c r="L120" s="46">
        <f t="shared" si="140"/>
      </c>
      <c r="M120" s="46">
        <f t="shared" si="140"/>
      </c>
      <c r="N120" s="89">
        <f t="shared" si="140"/>
      </c>
      <c r="O120" s="48">
        <f aca="true" t="shared" si="141" ref="O120:V120">IF(O119=0,"",обідл*O119/1000)</f>
      </c>
      <c r="P120" s="46">
        <f t="shared" si="141"/>
      </c>
      <c r="Q120" s="47">
        <f t="shared" si="141"/>
      </c>
      <c r="R120" s="46">
        <f t="shared" si="141"/>
      </c>
      <c r="S120" s="47">
        <f t="shared" si="141"/>
      </c>
      <c r="T120" s="46">
        <f t="shared" si="141"/>
      </c>
      <c r="U120" s="47">
        <f t="shared" si="141"/>
      </c>
      <c r="V120" s="46">
        <f t="shared" si="141"/>
      </c>
      <c r="W120" s="46">
        <f>IF(W119=0,"",полдникл*W119/1000)</f>
      </c>
      <c r="X120" s="46">
        <f>IF(X119=0,"",полдникл*X119/1000)</f>
      </c>
      <c r="Y120" s="89">
        <f>IF(Y119=0,"",полдникл*Y119/1000)</f>
      </c>
      <c r="Z120" s="48">
        <f aca="true" t="shared" si="142" ref="Z120:AG120">IF(Z119=0,"",ужинл*Z119/1000)</f>
      </c>
      <c r="AA120" s="47">
        <f t="shared" si="142"/>
      </c>
      <c r="AB120" s="46">
        <f t="shared" si="142"/>
      </c>
      <c r="AC120" s="47">
        <f t="shared" si="142"/>
      </c>
      <c r="AD120" s="46">
        <f t="shared" si="142"/>
      </c>
      <c r="AE120" s="47">
        <f t="shared" si="142"/>
      </c>
      <c r="AF120" s="46">
        <f t="shared" si="142"/>
      </c>
      <c r="AG120" s="89">
        <f t="shared" si="142"/>
      </c>
      <c r="AH120" s="153"/>
      <c r="AI120" s="161"/>
      <c r="AJ120" s="162"/>
      <c r="AK120" s="154"/>
      <c r="AL120" s="154"/>
      <c r="AM120" s="214"/>
      <c r="AN120" s="156"/>
      <c r="AP120">
        <v>117</v>
      </c>
      <c r="AQ120" s="61" t="s">
        <v>218</v>
      </c>
      <c r="AR120" s="61"/>
      <c r="AS120" s="61"/>
      <c r="AT120" s="61"/>
      <c r="AU120" s="61"/>
      <c r="AV120" s="61"/>
      <c r="AW120" s="61"/>
      <c r="AX120" s="61"/>
      <c r="AY120" s="61"/>
      <c r="AZ120" s="61">
        <v>7</v>
      </c>
      <c r="BA120" s="61"/>
      <c r="BB120" s="61"/>
      <c r="BC120" s="61"/>
      <c r="BD120" s="61"/>
      <c r="BE120" s="61"/>
      <c r="BF120" s="61"/>
      <c r="BG120" s="61"/>
      <c r="BH120" s="61"/>
      <c r="BI120" s="61"/>
      <c r="BJ120" s="61"/>
      <c r="BK120" s="61"/>
      <c r="BL120" s="61"/>
      <c r="BM120" s="61"/>
      <c r="BN120" s="61"/>
      <c r="BO120" s="61"/>
      <c r="BP120" s="61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61"/>
      <c r="CC120" s="61"/>
      <c r="CD120" s="61"/>
      <c r="CE120" s="61"/>
      <c r="CF120" s="61"/>
      <c r="CG120" s="61"/>
      <c r="CH120" s="61"/>
      <c r="CI120" s="61"/>
      <c r="CJ120" s="61"/>
      <c r="CK120" s="61"/>
      <c r="CL120" s="61"/>
      <c r="CM120" s="61"/>
      <c r="CN120" s="61"/>
      <c r="CO120" s="61"/>
      <c r="CP120" s="61"/>
      <c r="CQ120" s="61"/>
      <c r="CR120" s="61"/>
      <c r="CS120" s="61"/>
      <c r="CT120" s="61"/>
      <c r="CU120" s="61"/>
      <c r="CV120" s="61"/>
      <c r="CW120" s="61"/>
      <c r="CX120" s="61"/>
      <c r="CY120" s="61"/>
      <c r="CZ120" s="61"/>
      <c r="DA120" s="61"/>
      <c r="DB120" s="61"/>
      <c r="DC120" s="61"/>
      <c r="DD120" s="61"/>
      <c r="DE120" s="61">
        <v>150</v>
      </c>
      <c r="DF120" s="61"/>
      <c r="DG120" s="61"/>
      <c r="DH120" s="61"/>
      <c r="DI120" s="61"/>
      <c r="DJ120" s="61"/>
      <c r="DK120" s="61"/>
      <c r="DL120" s="61">
        <v>52.5</v>
      </c>
      <c r="DM120" s="61"/>
      <c r="DN120" s="61"/>
      <c r="DO120" s="61"/>
      <c r="DP120" s="61"/>
      <c r="DQ120" s="61"/>
      <c r="DR120" s="61"/>
      <c r="DS120" s="61"/>
      <c r="DT120" s="61"/>
      <c r="DU120" s="61"/>
      <c r="DV120" s="61"/>
      <c r="DW120" s="61"/>
      <c r="DX120" s="61"/>
      <c r="DY120" s="61"/>
    </row>
    <row r="121" spans="1:129" ht="30.75" customHeight="1">
      <c r="A121" s="191" t="s">
        <v>283</v>
      </c>
      <c r="B121" s="191"/>
      <c r="C121" s="191"/>
      <c r="D121" s="191"/>
      <c r="E121" s="192"/>
      <c r="F121" s="71" t="s">
        <v>198</v>
      </c>
      <c r="G121" s="80">
        <f>VLOOKUP(завтрак1,таб,77,FALSE)</f>
        <v>0</v>
      </c>
      <c r="H121" s="37">
        <f>VLOOKUP(завтрак2,таб,77,FALSE)</f>
        <v>0</v>
      </c>
      <c r="I121" s="38">
        <f>VLOOKUP(завтрак3,таб,77,FALSE)</f>
        <v>0</v>
      </c>
      <c r="J121" s="37">
        <f>VLOOKUP(завтрак4,таб,77,FALSE)</f>
        <v>0</v>
      </c>
      <c r="K121" s="38">
        <f>VLOOKUP(завтрак5,таб,77,FALSE)</f>
        <v>0</v>
      </c>
      <c r="L121" s="38">
        <f>VLOOKUP(завтрак6,таб,77,FALSE)</f>
        <v>0</v>
      </c>
      <c r="M121" s="28">
        <f>VLOOKUP(завтрак7,таб,77,FALSE)</f>
        <v>0</v>
      </c>
      <c r="N121" s="88">
        <f>VLOOKUP(завтрак8,таб,77,FALSE)</f>
        <v>0</v>
      </c>
      <c r="O121" s="39">
        <f>VLOOKUP(обед1,таб,77,FALSE)</f>
        <v>0</v>
      </c>
      <c r="P121" s="38">
        <f>VLOOKUP(обед2,таб,77,FALSE)</f>
        <v>0</v>
      </c>
      <c r="Q121" s="37">
        <f>VLOOKUP(обед3,таб,77,FALSE)</f>
        <v>0</v>
      </c>
      <c r="R121" s="38">
        <f>VLOOKUP(обед4,таб,77,FALSE)</f>
        <v>0</v>
      </c>
      <c r="S121" s="37">
        <f>VLOOKUP(обед5,таб,77,FALSE)</f>
        <v>0</v>
      </c>
      <c r="T121" s="38">
        <f>VLOOKUP(обед6,таб,77,FALSE)</f>
        <v>0</v>
      </c>
      <c r="U121" s="37">
        <f>VLOOKUP(обед7,таб,77,FALSE)</f>
        <v>0</v>
      </c>
      <c r="V121" s="38">
        <f>VLOOKUP(обед8,таб,77,FALSE)</f>
        <v>0</v>
      </c>
      <c r="W121" s="38">
        <f>VLOOKUP(полдник1,таб,77,FALSE)</f>
        <v>0</v>
      </c>
      <c r="X121" s="38">
        <f>VLOOKUP(полдник2,таб,77,FALSE)</f>
        <v>0</v>
      </c>
      <c r="Y121" s="95">
        <f>VLOOKUP(полдник3,таб,77,FALSE)</f>
        <v>0</v>
      </c>
      <c r="Z121" s="39">
        <f>VLOOKUP(ужин1,таб,77,FALSE)</f>
        <v>0</v>
      </c>
      <c r="AA121" s="37">
        <f>VLOOKUP(ужин2,таб,77,FALSE)</f>
        <v>0</v>
      </c>
      <c r="AB121" s="38">
        <f>VLOOKUP(ужин3,таб,77,FALSE)</f>
        <v>0</v>
      </c>
      <c r="AC121" s="37">
        <f>VLOOKUP(ужин4,таб,77,FALSE)</f>
        <v>0</v>
      </c>
      <c r="AD121" s="38">
        <f>VLOOKUP(ужин5,таб,77,FALSE)</f>
        <v>0</v>
      </c>
      <c r="AE121" s="37">
        <f>VLOOKUP(ужин6,таб,77,FALSE)</f>
        <v>0</v>
      </c>
      <c r="AF121" s="38">
        <f>VLOOKUP(ужин7,таб,77,FALSE)</f>
        <v>0</v>
      </c>
      <c r="AG121" s="95">
        <f>VLOOKUP(ужин8,таб,77,FALSE)</f>
        <v>0</v>
      </c>
      <c r="AH121" s="152"/>
      <c r="AI121" s="161">
        <f>AK121/сред</f>
        <v>0</v>
      </c>
      <c r="AJ121" s="162"/>
      <c r="AK121" s="154">
        <f>SUM(G122:AG122)</f>
        <v>0</v>
      </c>
      <c r="AL121" s="154"/>
      <c r="AM121" s="213">
        <f>IF(AK121=0,0,DO117)</f>
        <v>0</v>
      </c>
      <c r="AN121" s="155">
        <f>AK121*AM121</f>
        <v>0</v>
      </c>
      <c r="AP121">
        <v>118</v>
      </c>
      <c r="AQ121" s="62" t="s">
        <v>219</v>
      </c>
      <c r="AR121" s="62"/>
      <c r="AS121" s="62"/>
      <c r="AT121" s="62"/>
      <c r="AU121" s="62"/>
      <c r="AV121" s="62"/>
      <c r="AW121" s="62"/>
      <c r="AX121" s="62"/>
      <c r="AY121" s="62"/>
      <c r="AZ121" s="62"/>
      <c r="BA121" s="62"/>
      <c r="BB121" s="62"/>
      <c r="BC121" s="62"/>
      <c r="BD121" s="62"/>
      <c r="BE121" s="62"/>
      <c r="BF121" s="62"/>
      <c r="BG121" s="62"/>
      <c r="BH121" s="62"/>
      <c r="BI121" s="62"/>
      <c r="BJ121" s="62"/>
      <c r="BK121" s="62"/>
      <c r="BL121" s="62"/>
      <c r="BM121" s="62"/>
      <c r="BN121" s="62"/>
      <c r="BO121" s="62"/>
      <c r="BP121" s="62"/>
      <c r="BQ121" s="62"/>
      <c r="BR121" s="62"/>
      <c r="BS121" s="62"/>
      <c r="BT121" s="62"/>
      <c r="BU121" s="62"/>
      <c r="BV121" s="62"/>
      <c r="BW121" s="62"/>
      <c r="BX121" s="62"/>
      <c r="BY121" s="62"/>
      <c r="BZ121" s="62"/>
      <c r="CA121" s="62"/>
      <c r="CB121" s="62"/>
      <c r="CC121" s="62"/>
      <c r="CD121" s="62"/>
      <c r="CE121" s="62"/>
      <c r="CF121" s="62"/>
      <c r="CG121" s="62"/>
      <c r="CH121" s="62"/>
      <c r="CI121" s="62"/>
      <c r="CJ121" s="62"/>
      <c r="CK121" s="62"/>
      <c r="CL121" s="62">
        <v>100</v>
      </c>
      <c r="CM121" s="62"/>
      <c r="CN121" s="62"/>
      <c r="CO121" s="62"/>
      <c r="CP121" s="62"/>
      <c r="CQ121" s="62"/>
      <c r="CR121" s="62"/>
      <c r="CS121" s="62"/>
      <c r="CT121" s="62"/>
      <c r="CU121" s="62"/>
      <c r="CV121" s="62"/>
      <c r="CW121" s="62"/>
      <c r="CX121" s="62"/>
      <c r="CY121" s="62"/>
      <c r="CZ121" s="62"/>
      <c r="DA121" s="62"/>
      <c r="DB121" s="62"/>
      <c r="DC121" s="62"/>
      <c r="DD121" s="62"/>
      <c r="DE121" s="62">
        <v>100</v>
      </c>
      <c r="DF121" s="62"/>
      <c r="DG121" s="62"/>
      <c r="DH121" s="62"/>
      <c r="DI121" s="62"/>
      <c r="DJ121" s="62"/>
      <c r="DK121" s="62"/>
      <c r="DL121" s="62"/>
      <c r="DM121" s="62"/>
      <c r="DN121" s="62"/>
      <c r="DO121" s="62"/>
      <c r="DP121" s="62"/>
      <c r="DQ121" s="62"/>
      <c r="DR121" s="62"/>
      <c r="DS121" s="62"/>
      <c r="DT121" s="62"/>
      <c r="DU121" s="62"/>
      <c r="DV121" s="62"/>
      <c r="DW121" s="62"/>
      <c r="DX121" s="62"/>
      <c r="DY121" s="61"/>
    </row>
    <row r="122" spans="1:129" ht="30.75" customHeight="1">
      <c r="A122" s="195"/>
      <c r="B122" s="195"/>
      <c r="C122" s="195"/>
      <c r="D122" s="195"/>
      <c r="E122" s="196"/>
      <c r="F122" s="66" t="s">
        <v>199</v>
      </c>
      <c r="G122" s="81">
        <f aca="true" t="shared" si="143" ref="G122:N122">IF(G121=0,"",завтракл*G121/1000)</f>
      </c>
      <c r="H122" s="49">
        <f t="shared" si="143"/>
      </c>
      <c r="I122" s="45">
        <f t="shared" si="143"/>
      </c>
      <c r="J122" s="49">
        <f t="shared" si="143"/>
      </c>
      <c r="K122" s="45">
        <f t="shared" si="143"/>
      </c>
      <c r="L122" s="45">
        <f t="shared" si="143"/>
      </c>
      <c r="M122" s="46">
        <f t="shared" si="143"/>
      </c>
      <c r="N122" s="89">
        <f t="shared" si="143"/>
      </c>
      <c r="O122" s="50">
        <f aca="true" t="shared" si="144" ref="O122:V122">IF(O121=0,"",обідл*O121/1000)</f>
      </c>
      <c r="P122" s="45">
        <f t="shared" si="144"/>
      </c>
      <c r="Q122" s="49">
        <f t="shared" si="144"/>
      </c>
      <c r="R122" s="45">
        <f t="shared" si="144"/>
      </c>
      <c r="S122" s="49">
        <f t="shared" si="144"/>
      </c>
      <c r="T122" s="45">
        <f t="shared" si="144"/>
      </c>
      <c r="U122" s="49">
        <f t="shared" si="144"/>
      </c>
      <c r="V122" s="45">
        <f t="shared" si="144"/>
      </c>
      <c r="W122" s="45">
        <f>IF(W121=0,"",полдникл*W121/1000)</f>
      </c>
      <c r="X122" s="45">
        <f>IF(X121=0,"",полдникл*X121/1000)</f>
      </c>
      <c r="Y122" s="92">
        <f>IF(Y121=0,"",полдникл*Y121/1000)</f>
      </c>
      <c r="Z122" s="50">
        <f aca="true" t="shared" si="145" ref="Z122:AG122">IF(Z121=0,"",ужинл*Z121/1000)</f>
      </c>
      <c r="AA122" s="49">
        <f t="shared" si="145"/>
      </c>
      <c r="AB122" s="45">
        <f t="shared" si="145"/>
      </c>
      <c r="AC122" s="49">
        <f t="shared" si="145"/>
      </c>
      <c r="AD122" s="45">
        <f t="shared" si="145"/>
      </c>
      <c r="AE122" s="49">
        <f t="shared" si="145"/>
      </c>
      <c r="AF122" s="45">
        <f t="shared" si="145"/>
      </c>
      <c r="AG122" s="92">
        <f t="shared" si="145"/>
      </c>
      <c r="AH122" s="153"/>
      <c r="AI122" s="161"/>
      <c r="AJ122" s="162"/>
      <c r="AK122" s="154"/>
      <c r="AL122" s="154"/>
      <c r="AM122" s="214"/>
      <c r="AN122" s="156"/>
      <c r="AP122">
        <v>119</v>
      </c>
      <c r="AQ122" s="61" t="s">
        <v>220</v>
      </c>
      <c r="AR122" s="61"/>
      <c r="AS122" s="61"/>
      <c r="AT122" s="61"/>
      <c r="AU122" s="61"/>
      <c r="AV122" s="61"/>
      <c r="AW122" s="61"/>
      <c r="AX122" s="61"/>
      <c r="AY122" s="61"/>
      <c r="AZ122" s="61"/>
      <c r="BA122" s="61"/>
      <c r="BB122" s="61"/>
      <c r="BC122" s="61"/>
      <c r="BD122" s="61"/>
      <c r="BE122" s="61"/>
      <c r="BF122" s="61"/>
      <c r="BG122" s="61"/>
      <c r="BH122" s="61"/>
      <c r="BI122" s="61"/>
      <c r="BJ122" s="61"/>
      <c r="BK122" s="61"/>
      <c r="BL122" s="61"/>
      <c r="BM122" s="61"/>
      <c r="BN122" s="61"/>
      <c r="BO122" s="61"/>
      <c r="BP122" s="61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61"/>
      <c r="CC122" s="61"/>
      <c r="CD122" s="61"/>
      <c r="CE122" s="61">
        <v>20</v>
      </c>
      <c r="CF122" s="61"/>
      <c r="CG122" s="61"/>
      <c r="CH122" s="61"/>
      <c r="CI122" s="61"/>
      <c r="CJ122" s="61"/>
      <c r="CK122" s="61"/>
      <c r="CL122" s="61"/>
      <c r="CM122" s="61"/>
      <c r="CN122" s="61"/>
      <c r="CO122" s="61"/>
      <c r="CP122" s="61"/>
      <c r="CQ122" s="61"/>
      <c r="CR122" s="61"/>
      <c r="CS122" s="61"/>
      <c r="CT122" s="61"/>
      <c r="CU122" s="61"/>
      <c r="CV122" s="61"/>
      <c r="CW122" s="61"/>
      <c r="CX122" s="61"/>
      <c r="CY122" s="61"/>
      <c r="CZ122" s="61"/>
      <c r="DA122" s="61"/>
      <c r="DB122" s="61"/>
      <c r="DC122" s="61"/>
      <c r="DD122" s="61"/>
      <c r="DE122" s="61">
        <v>20</v>
      </c>
      <c r="DF122" s="61"/>
      <c r="DG122" s="61"/>
      <c r="DH122" s="61"/>
      <c r="DI122" s="61"/>
      <c r="DJ122" s="61"/>
      <c r="DK122" s="61"/>
      <c r="DL122" s="61"/>
      <c r="DM122" s="61"/>
      <c r="DN122" s="61"/>
      <c r="DO122" s="62"/>
      <c r="DP122" s="61"/>
      <c r="DQ122" s="61"/>
      <c r="DR122" s="61"/>
      <c r="DS122" s="61"/>
      <c r="DT122" s="61"/>
      <c r="DU122" s="61"/>
      <c r="DV122" s="61"/>
      <c r="DW122" s="61"/>
      <c r="DX122" s="61"/>
      <c r="DY122" s="61"/>
    </row>
    <row r="123" spans="1:129" ht="30.75" customHeight="1">
      <c r="A123" s="167" t="s">
        <v>253</v>
      </c>
      <c r="B123" s="167"/>
      <c r="C123" s="167"/>
      <c r="D123" s="167"/>
      <c r="E123" s="168"/>
      <c r="F123" s="71" t="s">
        <v>198</v>
      </c>
      <c r="G123" s="78">
        <f>VLOOKUP(завтрак1,таб,86,FALSE)</f>
        <v>0</v>
      </c>
      <c r="H123" s="34">
        <f>VLOOKUP(завтрак2,таб,86,FALSE)</f>
        <v>0</v>
      </c>
      <c r="I123" s="35">
        <f>VLOOKUP(завтрак3,таб,86,FALSE)</f>
        <v>0</v>
      </c>
      <c r="J123" s="34">
        <f>VLOOKUP(завтрак4,таб,86,FALSE)</f>
        <v>0</v>
      </c>
      <c r="K123" s="35">
        <f>VLOOKUP(завтрак5,таб,86,FALSE)</f>
        <v>0</v>
      </c>
      <c r="L123" s="35">
        <f>VLOOKUP(завтрак6,таб,86,FALSE)</f>
        <v>0</v>
      </c>
      <c r="M123" s="28">
        <f>VLOOKUP(завтрак7,таб,86,FALSE)</f>
        <v>0</v>
      </c>
      <c r="N123" s="88">
        <f>VLOOKUP(завтрак8,таб,86,FALSE)</f>
        <v>0</v>
      </c>
      <c r="O123" s="36">
        <f>VLOOKUP(обед1,таб,86,FALSE)</f>
        <v>0</v>
      </c>
      <c r="P123" s="35">
        <f>VLOOKUP(обед2,таб,86,FALSE)</f>
        <v>0</v>
      </c>
      <c r="Q123" s="34">
        <f>VLOOKUP(обед3,таб,86,FALSE)</f>
        <v>0</v>
      </c>
      <c r="R123" s="35">
        <f>VLOOKUP(обед4,таб,86,FALSE)</f>
        <v>0</v>
      </c>
      <c r="S123" s="34">
        <f>VLOOKUP(обед5,таб,86,FALSE)</f>
        <v>0</v>
      </c>
      <c r="T123" s="35">
        <f>VLOOKUP(обед6,таб,86,FALSE)</f>
        <v>0</v>
      </c>
      <c r="U123" s="34">
        <f>VLOOKUP(обед7,таб,86,FALSE)</f>
        <v>0</v>
      </c>
      <c r="V123" s="35">
        <f>VLOOKUP(обед8,таб,86,FALSE)</f>
        <v>0</v>
      </c>
      <c r="W123" s="35">
        <f>VLOOKUP(полдник1,таб,86,FALSE)</f>
        <v>0</v>
      </c>
      <c r="X123" s="35">
        <f>VLOOKUP(полдник2,таб,86,FALSE)</f>
        <v>0</v>
      </c>
      <c r="Y123" s="94">
        <f>VLOOKUP(полдник3,таб,86,FALSE)</f>
        <v>0</v>
      </c>
      <c r="Z123" s="36">
        <f>VLOOKUP(ужин1,таб,86,FALSE)</f>
        <v>0</v>
      </c>
      <c r="AA123" s="34">
        <f>VLOOKUP(ужин2,таб,86,FALSE)</f>
        <v>0</v>
      </c>
      <c r="AB123" s="35">
        <f>VLOOKUP(ужин3,таб,86,FALSE)</f>
        <v>0</v>
      </c>
      <c r="AC123" s="34">
        <f>VLOOKUP(ужин4,таб,86,FALSE)</f>
        <v>0</v>
      </c>
      <c r="AD123" s="35">
        <f>VLOOKUP(ужин5,таб,86,FALSE)</f>
        <v>0</v>
      </c>
      <c r="AE123" s="34">
        <f>VLOOKUP(ужин6,таб,86,FALSE)</f>
        <v>0</v>
      </c>
      <c r="AF123" s="35">
        <f>VLOOKUP(ужин7,таб,86,FALSE)</f>
        <v>0</v>
      </c>
      <c r="AG123" s="94">
        <f>VLOOKUP(ужин8,таб,86,FALSE)</f>
        <v>0</v>
      </c>
      <c r="AH123" s="152"/>
      <c r="AI123" s="161">
        <f>AK123/сред</f>
        <v>0</v>
      </c>
      <c r="AJ123" s="162"/>
      <c r="AK123" s="154">
        <f>SUM(G124:AG124)</f>
        <v>0</v>
      </c>
      <c r="AL123" s="154"/>
      <c r="AM123" s="213">
        <f>IF(AK123=0,0,DP117)</f>
        <v>0</v>
      </c>
      <c r="AN123" s="155">
        <f>AK123*AM123</f>
        <v>0</v>
      </c>
      <c r="AQ123" s="61">
        <v>0</v>
      </c>
      <c r="AR123" s="61"/>
      <c r="AS123" s="61"/>
      <c r="AT123" s="61"/>
      <c r="AU123" s="61"/>
      <c r="AV123" s="61"/>
      <c r="AW123" s="61"/>
      <c r="AX123" s="61"/>
      <c r="AY123" s="61"/>
      <c r="AZ123" s="61"/>
      <c r="BA123" s="61"/>
      <c r="BB123" s="61"/>
      <c r="BC123" s="61"/>
      <c r="BD123" s="61"/>
      <c r="BE123" s="61"/>
      <c r="BF123" s="61"/>
      <c r="BG123" s="61"/>
      <c r="BH123" s="61"/>
      <c r="BI123" s="61"/>
      <c r="BJ123" s="61"/>
      <c r="BK123" s="61"/>
      <c r="BL123" s="61"/>
      <c r="BM123" s="61"/>
      <c r="BN123" s="61"/>
      <c r="BO123" s="61"/>
      <c r="BP123" s="61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61"/>
      <c r="CC123" s="61"/>
      <c r="CD123" s="61"/>
      <c r="CE123" s="61"/>
      <c r="CF123" s="61"/>
      <c r="CG123" s="61"/>
      <c r="CH123" s="61"/>
      <c r="CI123" s="61"/>
      <c r="CJ123" s="61"/>
      <c r="CK123" s="61"/>
      <c r="CL123" s="61"/>
      <c r="CM123" s="61"/>
      <c r="CN123" s="61"/>
      <c r="CO123" s="61"/>
      <c r="CP123" s="61"/>
      <c r="CQ123" s="61"/>
      <c r="CR123" s="61"/>
      <c r="CS123" s="61"/>
      <c r="CT123" s="61"/>
      <c r="CU123" s="61"/>
      <c r="CV123" s="61"/>
      <c r="CW123" s="61"/>
      <c r="CX123" s="61"/>
      <c r="CY123" s="61"/>
      <c r="CZ123" s="61"/>
      <c r="DA123" s="61"/>
      <c r="DB123" s="61"/>
      <c r="DC123" s="61"/>
      <c r="DD123" s="61"/>
      <c r="DE123" s="61"/>
      <c r="DF123" s="61"/>
      <c r="DG123" s="61"/>
      <c r="DH123" s="61"/>
      <c r="DI123" s="61"/>
      <c r="DJ123" s="61"/>
      <c r="DK123" s="61"/>
      <c r="DL123" s="61"/>
      <c r="DM123" s="61"/>
      <c r="DN123" s="61"/>
      <c r="DO123" s="61"/>
      <c r="DP123" s="61"/>
      <c r="DQ123" s="61"/>
      <c r="DR123" s="61"/>
      <c r="DS123" s="61"/>
      <c r="DT123" s="61"/>
      <c r="DU123" s="61"/>
      <c r="DV123" s="61"/>
      <c r="DW123" s="61"/>
      <c r="DX123" s="61"/>
      <c r="DY123" s="61"/>
    </row>
    <row r="124" spans="1:129" ht="30.75" customHeight="1">
      <c r="A124" s="167"/>
      <c r="B124" s="167"/>
      <c r="C124" s="167"/>
      <c r="D124" s="167"/>
      <c r="E124" s="168"/>
      <c r="F124" s="66" t="s">
        <v>199</v>
      </c>
      <c r="G124" s="79">
        <f aca="true" t="shared" si="146" ref="G124:N124">IF(G123=0,"",завтракл*G123/1000)</f>
      </c>
      <c r="H124" s="47">
        <f t="shared" si="146"/>
      </c>
      <c r="I124" s="46">
        <f t="shared" si="146"/>
      </c>
      <c r="J124" s="47">
        <f t="shared" si="146"/>
      </c>
      <c r="K124" s="46">
        <f t="shared" si="146"/>
      </c>
      <c r="L124" s="46">
        <f t="shared" si="146"/>
      </c>
      <c r="M124" s="46">
        <f t="shared" si="146"/>
      </c>
      <c r="N124" s="89">
        <f t="shared" si="146"/>
      </c>
      <c r="O124" s="48">
        <f aca="true" t="shared" si="147" ref="O124:V124">IF(O123=0,"",обідл*O123/1000)</f>
      </c>
      <c r="P124" s="46">
        <f t="shared" si="147"/>
      </c>
      <c r="Q124" s="47">
        <f t="shared" si="147"/>
      </c>
      <c r="R124" s="46">
        <f t="shared" si="147"/>
      </c>
      <c r="S124" s="47">
        <f t="shared" si="147"/>
      </c>
      <c r="T124" s="46">
        <f t="shared" si="147"/>
      </c>
      <c r="U124" s="47">
        <f t="shared" si="147"/>
      </c>
      <c r="V124" s="46">
        <f t="shared" si="147"/>
      </c>
      <c r="W124" s="46">
        <f>IF(W123=0,"",полдникл*W123/1000)</f>
      </c>
      <c r="X124" s="46">
        <f>IF(X123=0,"",полдникл*X123/1000)</f>
      </c>
      <c r="Y124" s="89">
        <f>IF(Y123=0,"",полдникл*Y123/1000)</f>
      </c>
      <c r="Z124" s="48">
        <f aca="true" t="shared" si="148" ref="Z124:AG124">IF(Z123=0,"",ужинл*Z123/1000)</f>
      </c>
      <c r="AA124" s="47">
        <f t="shared" si="148"/>
      </c>
      <c r="AB124" s="46">
        <f t="shared" si="148"/>
      </c>
      <c r="AC124" s="47">
        <f t="shared" si="148"/>
      </c>
      <c r="AD124" s="46">
        <f t="shared" si="148"/>
      </c>
      <c r="AE124" s="47">
        <f t="shared" si="148"/>
      </c>
      <c r="AF124" s="46">
        <f t="shared" si="148"/>
      </c>
      <c r="AG124" s="89">
        <f t="shared" si="148"/>
      </c>
      <c r="AH124" s="153"/>
      <c r="AI124" s="161"/>
      <c r="AJ124" s="162"/>
      <c r="AK124" s="154"/>
      <c r="AL124" s="154"/>
      <c r="AM124" s="214"/>
      <c r="AN124" s="156"/>
      <c r="AP124">
        <v>120</v>
      </c>
      <c r="AQ124" s="61" t="s">
        <v>221</v>
      </c>
      <c r="AR124" s="61"/>
      <c r="AS124" s="61">
        <v>52</v>
      </c>
      <c r="AT124" s="61"/>
      <c r="AU124" s="61"/>
      <c r="AV124" s="61"/>
      <c r="AW124" s="61"/>
      <c r="AX124" s="61"/>
      <c r="AY124" s="61"/>
      <c r="AZ124" s="61"/>
      <c r="BA124" s="61"/>
      <c r="BB124" s="61"/>
      <c r="BC124" s="61">
        <v>3</v>
      </c>
      <c r="BD124" s="61"/>
      <c r="BE124" s="61"/>
      <c r="BF124" s="61"/>
      <c r="BG124" s="61"/>
      <c r="BH124" s="61"/>
      <c r="BI124" s="61"/>
      <c r="BJ124" s="61"/>
      <c r="BK124" s="61"/>
      <c r="BL124" s="61">
        <v>7</v>
      </c>
      <c r="BM124" s="61"/>
      <c r="BN124" s="61"/>
      <c r="BO124" s="61"/>
      <c r="BP124" s="61"/>
      <c r="BQ124" s="61"/>
      <c r="BR124" s="61">
        <v>15</v>
      </c>
      <c r="BS124" s="61"/>
      <c r="BT124" s="61"/>
      <c r="BU124" s="61"/>
      <c r="BV124" s="61"/>
      <c r="BW124" s="61"/>
      <c r="BX124" s="61"/>
      <c r="BY124" s="61"/>
      <c r="BZ124" s="61"/>
      <c r="CA124" s="61"/>
      <c r="CB124" s="61"/>
      <c r="CC124" s="61"/>
      <c r="CD124" s="61"/>
      <c r="CE124" s="61"/>
      <c r="CF124" s="61"/>
      <c r="CG124" s="61"/>
      <c r="CH124" s="61"/>
      <c r="CI124" s="61">
        <v>18</v>
      </c>
      <c r="CJ124" s="61"/>
      <c r="CK124" s="61"/>
      <c r="CL124" s="61"/>
      <c r="CM124" s="61">
        <v>2</v>
      </c>
      <c r="CN124" s="61"/>
      <c r="CO124" s="61"/>
      <c r="CP124" s="61"/>
      <c r="CQ124" s="61"/>
      <c r="CR124" s="61"/>
      <c r="CS124" s="61"/>
      <c r="CT124" s="61"/>
      <c r="CU124" s="61"/>
      <c r="CV124" s="61"/>
      <c r="CW124" s="61"/>
      <c r="CX124" s="61"/>
      <c r="CY124" s="61"/>
      <c r="CZ124" s="61"/>
      <c r="DA124" s="61"/>
      <c r="DB124" s="61"/>
      <c r="DC124" s="61"/>
      <c r="DD124" s="61"/>
      <c r="DE124" s="61" t="s">
        <v>298</v>
      </c>
      <c r="DF124" s="61"/>
      <c r="DG124" s="61"/>
      <c r="DH124" s="61"/>
      <c r="DI124" s="61"/>
      <c r="DJ124" s="61"/>
      <c r="DK124" s="61"/>
      <c r="DL124" s="61"/>
      <c r="DM124" s="61"/>
      <c r="DN124" s="61"/>
      <c r="DO124" s="61"/>
      <c r="DP124" s="61"/>
      <c r="DQ124" s="61"/>
      <c r="DR124" s="61"/>
      <c r="DS124" s="61"/>
      <c r="DT124" s="61"/>
      <c r="DU124" s="61"/>
      <c r="DV124" s="61"/>
      <c r="DW124" s="61"/>
      <c r="DX124" s="61"/>
      <c r="DY124" s="61"/>
    </row>
    <row r="125" spans="1:129" ht="30.75" customHeight="1">
      <c r="A125" s="191" t="s">
        <v>46</v>
      </c>
      <c r="B125" s="191"/>
      <c r="C125" s="191"/>
      <c r="D125" s="191"/>
      <c r="E125" s="192"/>
      <c r="F125" s="71" t="s">
        <v>198</v>
      </c>
      <c r="G125" s="80">
        <f>VLOOKUP(завтрак1,таб,43,FALSE)</f>
        <v>0</v>
      </c>
      <c r="H125" s="37">
        <f>VLOOKUP(завтрак2,таб,43,FALSE)</f>
        <v>0</v>
      </c>
      <c r="I125" s="38">
        <f>VLOOKUP(завтрак3,таб,43,FALSE)</f>
        <v>0</v>
      </c>
      <c r="J125" s="37">
        <f>VLOOKUP(завтрак4,таб,43,FALSE)</f>
        <v>0</v>
      </c>
      <c r="K125" s="38">
        <f>VLOOKUP(завтрак5,таб,43,FALSE)</f>
        <v>0</v>
      </c>
      <c r="L125" s="38">
        <f>VLOOKUP(завтрак6,таб,43,FALSE)</f>
        <v>0</v>
      </c>
      <c r="M125" s="28">
        <f>VLOOKUP(завтрак7,таб,43,FALSE)</f>
        <v>0</v>
      </c>
      <c r="N125" s="88">
        <f>VLOOKUP(завтрак8,таб,43,FALSE)</f>
        <v>0</v>
      </c>
      <c r="O125" s="39">
        <f>VLOOKUP(обед1,таб,43,FALSE)</f>
        <v>80</v>
      </c>
      <c r="P125" s="38">
        <f>VLOOKUP(обед2,таб,43,FALSE)</f>
        <v>120</v>
      </c>
      <c r="Q125" s="37">
        <f>VLOOKUP(обед3,таб,43,FALSE)</f>
        <v>0</v>
      </c>
      <c r="R125" s="38">
        <f>VLOOKUP(обед4,таб,43,FALSE)</f>
        <v>0</v>
      </c>
      <c r="S125" s="37">
        <f>VLOOKUP(обед5,таб,43,FALSE)</f>
        <v>0</v>
      </c>
      <c r="T125" s="38">
        <f>VLOOKUP(обед6,таб,43,FALSE)</f>
        <v>0</v>
      </c>
      <c r="U125" s="37">
        <f>VLOOKUP(обед7,таб,43,FALSE)</f>
        <v>0</v>
      </c>
      <c r="V125" s="38">
        <f>VLOOKUP(обед8,таб,43,FALSE)</f>
        <v>0</v>
      </c>
      <c r="W125" s="38">
        <f>VLOOKUP(полдник1,таб,43,FALSE)</f>
        <v>0</v>
      </c>
      <c r="X125" s="38">
        <f>VLOOKUP(полдник2,таб,43,FALSE)</f>
        <v>0</v>
      </c>
      <c r="Y125" s="95">
        <f>VLOOKUP(полдник3,таб,43,FALSE)</f>
        <v>0</v>
      </c>
      <c r="Z125" s="39">
        <f>VLOOKUP(ужин1,таб,43,FALSE)</f>
        <v>0</v>
      </c>
      <c r="AA125" s="37">
        <f>VLOOKUP(ужин2,таб,43,FALSE)</f>
        <v>0</v>
      </c>
      <c r="AB125" s="38">
        <f>VLOOKUP(ужин3,таб,43,FALSE)</f>
        <v>0</v>
      </c>
      <c r="AC125" s="37">
        <f>VLOOKUP(ужин4,таб,43,FALSE)</f>
        <v>0</v>
      </c>
      <c r="AD125" s="38">
        <f>VLOOKUP(ужин5,таб,43,FALSE)</f>
        <v>0</v>
      </c>
      <c r="AE125" s="37">
        <f>VLOOKUP(ужин6,таб,43,FALSE)</f>
        <v>0</v>
      </c>
      <c r="AF125" s="38">
        <f>VLOOKUP(ужин7,таб,43,FALSE)</f>
        <v>0</v>
      </c>
      <c r="AG125" s="95">
        <f>VLOOKUP(ужин8,таб,43,FALSE)</f>
        <v>0</v>
      </c>
      <c r="AH125" s="152">
        <v>615078</v>
      </c>
      <c r="AI125" s="161">
        <f>AK125/сред</f>
        <v>0.2</v>
      </c>
      <c r="AJ125" s="162"/>
      <c r="AK125" s="154">
        <f>SUM(G126:AG126)</f>
        <v>3.2</v>
      </c>
      <c r="AL125" s="154"/>
      <c r="AM125" s="213">
        <f>IF(AK125=0,0,CG117)</f>
        <v>13.1</v>
      </c>
      <c r="AN125" s="155">
        <f>AK125*AM125</f>
        <v>41.92</v>
      </c>
      <c r="AP125">
        <v>121</v>
      </c>
      <c r="AQ125" s="61" t="s">
        <v>222</v>
      </c>
      <c r="AR125" s="61"/>
      <c r="AS125" s="61"/>
      <c r="AT125" s="61"/>
      <c r="AU125" s="61"/>
      <c r="AV125" s="61"/>
      <c r="AW125" s="61"/>
      <c r="AX125" s="61"/>
      <c r="AY125" s="61"/>
      <c r="AZ125" s="61"/>
      <c r="BA125" s="61"/>
      <c r="BB125" s="61"/>
      <c r="BC125" s="61"/>
      <c r="BD125" s="61"/>
      <c r="BE125" s="61"/>
      <c r="BF125" s="61"/>
      <c r="BG125" s="61"/>
      <c r="BH125" s="61"/>
      <c r="BI125" s="61"/>
      <c r="BJ125" s="61"/>
      <c r="BK125" s="61"/>
      <c r="BL125" s="61"/>
      <c r="BM125" s="61"/>
      <c r="BN125" s="61"/>
      <c r="BO125" s="61"/>
      <c r="BP125" s="61"/>
      <c r="BQ125" s="61"/>
      <c r="BR125" s="61"/>
      <c r="BS125" s="61"/>
      <c r="BT125" s="61"/>
      <c r="BU125" s="61"/>
      <c r="BV125" s="61"/>
      <c r="BW125" s="61"/>
      <c r="BX125" s="61"/>
      <c r="BY125" s="61">
        <v>20</v>
      </c>
      <c r="BZ125" s="61"/>
      <c r="CA125" s="61"/>
      <c r="CB125" s="61"/>
      <c r="CC125" s="61"/>
      <c r="CD125" s="61"/>
      <c r="CE125" s="61"/>
      <c r="CF125" s="61"/>
      <c r="CG125" s="61"/>
      <c r="CH125" s="61"/>
      <c r="CI125" s="61"/>
      <c r="CJ125" s="61"/>
      <c r="CK125" s="61"/>
      <c r="CL125" s="61"/>
      <c r="CM125" s="61"/>
      <c r="CN125" s="61"/>
      <c r="CO125" s="61"/>
      <c r="CP125" s="61"/>
      <c r="CQ125" s="61"/>
      <c r="CR125" s="61"/>
      <c r="CS125" s="61"/>
      <c r="CT125" s="61"/>
      <c r="CU125" s="61"/>
      <c r="CV125" s="61"/>
      <c r="CW125" s="61"/>
      <c r="CX125" s="61"/>
      <c r="CY125" s="61"/>
      <c r="CZ125" s="61"/>
      <c r="DA125" s="61"/>
      <c r="DB125" s="61"/>
      <c r="DC125" s="61"/>
      <c r="DD125" s="61"/>
      <c r="DE125" s="61">
        <v>20</v>
      </c>
      <c r="DF125" s="61"/>
      <c r="DG125" s="61"/>
      <c r="DH125" s="61"/>
      <c r="DI125" s="61"/>
      <c r="DJ125" s="61"/>
      <c r="DK125" s="61"/>
      <c r="DL125" s="61"/>
      <c r="DM125" s="61"/>
      <c r="DN125" s="61"/>
      <c r="DO125" s="61"/>
      <c r="DP125" s="61"/>
      <c r="DQ125" s="61"/>
      <c r="DR125" s="61"/>
      <c r="DS125" s="61"/>
      <c r="DT125" s="61"/>
      <c r="DU125" s="61"/>
      <c r="DV125" s="61"/>
      <c r="DW125" s="61"/>
      <c r="DX125" s="61"/>
      <c r="DY125" s="61"/>
    </row>
    <row r="126" spans="1:129" ht="30.75" customHeight="1">
      <c r="A126" s="195"/>
      <c r="B126" s="195"/>
      <c r="C126" s="195"/>
      <c r="D126" s="195"/>
      <c r="E126" s="196"/>
      <c r="F126" s="66" t="s">
        <v>199</v>
      </c>
      <c r="G126" s="81">
        <f aca="true" t="shared" si="149" ref="G126:N126">IF(G125=0,"",завтракл*G125/1000)</f>
      </c>
      <c r="H126" s="49">
        <f t="shared" si="149"/>
      </c>
      <c r="I126" s="45">
        <f t="shared" si="149"/>
      </c>
      <c r="J126" s="49">
        <f t="shared" si="149"/>
      </c>
      <c r="K126" s="45">
        <f t="shared" si="149"/>
      </c>
      <c r="L126" s="45">
        <f t="shared" si="149"/>
      </c>
      <c r="M126" s="46">
        <f t="shared" si="149"/>
      </c>
      <c r="N126" s="89">
        <f t="shared" si="149"/>
      </c>
      <c r="O126" s="50">
        <f aca="true" t="shared" si="150" ref="O126:V126">IF(O125=0,"",обідл*O125/1000)</f>
        <v>1.28</v>
      </c>
      <c r="P126" s="45">
        <f t="shared" si="150"/>
        <v>1.92</v>
      </c>
      <c r="Q126" s="49">
        <f t="shared" si="150"/>
      </c>
      <c r="R126" s="45">
        <f t="shared" si="150"/>
      </c>
      <c r="S126" s="49">
        <f t="shared" si="150"/>
      </c>
      <c r="T126" s="45">
        <f t="shared" si="150"/>
      </c>
      <c r="U126" s="49">
        <f t="shared" si="150"/>
      </c>
      <c r="V126" s="45">
        <f t="shared" si="150"/>
      </c>
      <c r="W126" s="45">
        <f>IF(W125=0,"",полдникл*W125/1000)</f>
      </c>
      <c r="X126" s="45">
        <f>IF(X125=0,"",полдникл*X125/1000)</f>
      </c>
      <c r="Y126" s="92">
        <f>IF(Y125=0,"",полдникл*Y125/1000)</f>
      </c>
      <c r="Z126" s="50">
        <f aca="true" t="shared" si="151" ref="Z126:AG126">IF(Z125=0,"",ужинл*Z125/1000)</f>
      </c>
      <c r="AA126" s="49">
        <f>IF(AA125=0,"",ужинл*AA125/1000)</f>
      </c>
      <c r="AB126" s="45">
        <f t="shared" si="151"/>
      </c>
      <c r="AC126" s="49">
        <f t="shared" si="151"/>
      </c>
      <c r="AD126" s="45">
        <f t="shared" si="151"/>
      </c>
      <c r="AE126" s="49">
        <f t="shared" si="151"/>
      </c>
      <c r="AF126" s="45">
        <f t="shared" si="151"/>
      </c>
      <c r="AG126" s="92">
        <f t="shared" si="151"/>
      </c>
      <c r="AH126" s="153"/>
      <c r="AI126" s="161"/>
      <c r="AJ126" s="162"/>
      <c r="AK126" s="154"/>
      <c r="AL126" s="154"/>
      <c r="AM126" s="214"/>
      <c r="AN126" s="156"/>
      <c r="AP126">
        <v>122</v>
      </c>
      <c r="AQ126" s="61" t="s">
        <v>223</v>
      </c>
      <c r="AR126" s="61"/>
      <c r="AS126" s="61"/>
      <c r="AT126" s="61"/>
      <c r="AU126" s="61"/>
      <c r="AV126" s="61"/>
      <c r="AW126" s="61"/>
      <c r="AX126" s="61"/>
      <c r="AY126" s="61"/>
      <c r="AZ126" s="61"/>
      <c r="BA126" s="61"/>
      <c r="BB126" s="61"/>
      <c r="BC126" s="61"/>
      <c r="BD126" s="61"/>
      <c r="BE126" s="61"/>
      <c r="BF126" s="61"/>
      <c r="BG126" s="61"/>
      <c r="BH126" s="61"/>
      <c r="BI126" s="61"/>
      <c r="BJ126" s="61"/>
      <c r="BK126" s="61"/>
      <c r="BL126" s="61">
        <v>85</v>
      </c>
      <c r="BM126" s="61"/>
      <c r="BN126" s="61"/>
      <c r="BO126" s="61"/>
      <c r="BP126" s="61"/>
      <c r="BQ126" s="61"/>
      <c r="BR126" s="61"/>
      <c r="BS126" s="61"/>
      <c r="BT126" s="61"/>
      <c r="BU126" s="61"/>
      <c r="BV126" s="61"/>
      <c r="BW126" s="61">
        <v>4</v>
      </c>
      <c r="BX126" s="61"/>
      <c r="BY126" s="61">
        <v>20</v>
      </c>
      <c r="BZ126" s="61"/>
      <c r="CA126" s="61"/>
      <c r="CB126" s="61"/>
      <c r="CC126" s="61"/>
      <c r="CD126" s="61"/>
      <c r="CE126" s="61"/>
      <c r="CF126" s="61"/>
      <c r="CG126" s="61"/>
      <c r="CH126" s="61"/>
      <c r="CI126" s="61"/>
      <c r="CJ126" s="61"/>
      <c r="CK126" s="61"/>
      <c r="CL126" s="61"/>
      <c r="CM126" s="61"/>
      <c r="CN126" s="61"/>
      <c r="CO126" s="61"/>
      <c r="CP126" s="61"/>
      <c r="CQ126" s="61"/>
      <c r="CR126" s="61"/>
      <c r="CS126" s="61"/>
      <c r="CT126" s="61"/>
      <c r="CU126" s="61"/>
      <c r="CV126" s="61"/>
      <c r="CW126" s="61"/>
      <c r="CX126" s="61"/>
      <c r="CY126" s="61"/>
      <c r="CZ126" s="61"/>
      <c r="DA126" s="61"/>
      <c r="DB126" s="61"/>
      <c r="DC126" s="61"/>
      <c r="DD126" s="61"/>
      <c r="DE126" s="61" t="s">
        <v>296</v>
      </c>
      <c r="DF126" s="61"/>
      <c r="DG126" s="61"/>
      <c r="DH126" s="61"/>
      <c r="DI126" s="61"/>
      <c r="DJ126" s="61"/>
      <c r="DK126" s="61"/>
      <c r="DL126" s="61"/>
      <c r="DM126" s="61"/>
      <c r="DN126" s="61"/>
      <c r="DO126" s="61"/>
      <c r="DP126" s="61"/>
      <c r="DQ126" s="61"/>
      <c r="DR126" s="61"/>
      <c r="DS126" s="61"/>
      <c r="DT126" s="61"/>
      <c r="DU126" s="61"/>
      <c r="DV126" s="61"/>
      <c r="DW126" s="61"/>
      <c r="DX126" s="61"/>
      <c r="DY126" s="61"/>
    </row>
    <row r="127" spans="1:127" ht="30.75" customHeight="1">
      <c r="A127" s="167" t="s">
        <v>332</v>
      </c>
      <c r="B127" s="167"/>
      <c r="C127" s="167"/>
      <c r="D127" s="167"/>
      <c r="E127" s="168"/>
      <c r="F127" s="71" t="s">
        <v>198</v>
      </c>
      <c r="G127" s="78">
        <f>VLOOKUP(завтрак1,таб,44,FALSE)</f>
        <v>0</v>
      </c>
      <c r="H127" s="34">
        <f>VLOOKUP(завтрак2,таб,44,FALSE)</f>
        <v>0</v>
      </c>
      <c r="I127" s="35">
        <f>VLOOKUP(завтрак3,таб,44,FALSE)</f>
        <v>0</v>
      </c>
      <c r="J127" s="34">
        <f>VLOOKUP(завтрак4,таб,44,FALSE)</f>
        <v>0</v>
      </c>
      <c r="K127" s="35">
        <f>VLOOKUP(завтрак5,таб,44,FALSE)</f>
        <v>0</v>
      </c>
      <c r="L127" s="35">
        <f>VLOOKUP(завтрак6,таб,44,FALSE)</f>
        <v>0</v>
      </c>
      <c r="M127" s="28">
        <f>VLOOKUP(завтрак7,таб,44,FALSE)</f>
        <v>0</v>
      </c>
      <c r="N127" s="88">
        <f>VLOOKUP(завтрак8,таб,44,FALSE)</f>
        <v>0</v>
      </c>
      <c r="O127" s="36">
        <f>VLOOKUP(обед1,таб,44,FALSE)</f>
        <v>0</v>
      </c>
      <c r="P127" s="35">
        <f>VLOOKUP(обед2,таб,44,FALSE)</f>
        <v>120</v>
      </c>
      <c r="Q127" s="34">
        <f>VLOOKUP(обед3,таб,44,FALSE)</f>
        <v>0</v>
      </c>
      <c r="R127" s="35">
        <f>VLOOKUP(обед4,таб,44,FALSE)</f>
        <v>0</v>
      </c>
      <c r="S127" s="34">
        <f>VLOOKUP(обед5,таб,44,FALSE)</f>
        <v>0</v>
      </c>
      <c r="T127" s="35">
        <f>VLOOKUP(обед6,таб,44,FALSE)</f>
        <v>0</v>
      </c>
      <c r="U127" s="34">
        <f>VLOOKUP(обед7,таб,44,FALSE)</f>
        <v>0</v>
      </c>
      <c r="V127" s="35">
        <f>VLOOKUP(обед8,таб,44,FALSE)</f>
        <v>0</v>
      </c>
      <c r="W127" s="35">
        <f>VLOOKUP(полдник1,таб,44,FALSE)</f>
        <v>0</v>
      </c>
      <c r="X127" s="35">
        <f>VLOOKUP(полдник2,таб,44,FALSE)</f>
        <v>0</v>
      </c>
      <c r="Y127" s="94">
        <f>VLOOKUP(полдник3,таб,44,FALSE)</f>
        <v>0</v>
      </c>
      <c r="Z127" s="36">
        <f>VLOOKUP(ужин1,таб,44,FALSE)</f>
        <v>0</v>
      </c>
      <c r="AA127" s="34">
        <f>VLOOKUP(ужин2,таб,44,FALSE)</f>
        <v>0</v>
      </c>
      <c r="AB127" s="35">
        <f>VLOOKUP(ужин3,таб,44,FALSE)</f>
        <v>0</v>
      </c>
      <c r="AC127" s="34">
        <f>VLOOKUP(ужин4,таб,44,FALSE)</f>
        <v>0</v>
      </c>
      <c r="AD127" s="35">
        <f>VLOOKUP(ужин5,таб,44,FALSE)</f>
        <v>0</v>
      </c>
      <c r="AE127" s="34">
        <f>VLOOKUP(ужин6,таб,44,FALSE)</f>
        <v>0</v>
      </c>
      <c r="AF127" s="35">
        <f>VLOOKUP(ужин7,таб,44,FALSE)</f>
        <v>0</v>
      </c>
      <c r="AG127" s="94">
        <f>VLOOKUP(ужин8,таб,44,FALSE)</f>
        <v>0</v>
      </c>
      <c r="AH127" s="152">
        <v>615079</v>
      </c>
      <c r="AI127" s="161">
        <f>AK127/сред</f>
        <v>0.12</v>
      </c>
      <c r="AJ127" s="162"/>
      <c r="AK127" s="154">
        <f>SUM(G128:AG128)</f>
        <v>1.92</v>
      </c>
      <c r="AL127" s="154"/>
      <c r="AM127" s="213">
        <f>IF(AK127=0,0,CH117)</f>
        <v>6.9</v>
      </c>
      <c r="AN127" s="155">
        <f>AK127*AM127</f>
        <v>13.248</v>
      </c>
      <c r="AP127">
        <v>123</v>
      </c>
      <c r="AQ127" s="61" t="s">
        <v>224</v>
      </c>
      <c r="AR127" s="61"/>
      <c r="AS127" s="61"/>
      <c r="AT127" s="61"/>
      <c r="AU127" s="61"/>
      <c r="AV127" s="61"/>
      <c r="AW127" s="61"/>
      <c r="AX127" s="61"/>
      <c r="AY127" s="61"/>
      <c r="AZ127" s="61">
        <v>2</v>
      </c>
      <c r="BA127" s="61"/>
      <c r="BB127" s="61"/>
      <c r="BC127" s="61">
        <v>3</v>
      </c>
      <c r="BD127" s="61">
        <v>14</v>
      </c>
      <c r="BE127" s="61"/>
      <c r="BF127" s="61"/>
      <c r="BG127" s="61"/>
      <c r="BH127" s="61"/>
      <c r="BI127" s="61"/>
      <c r="BJ127" s="61"/>
      <c r="BK127" s="61"/>
      <c r="BL127" s="61">
        <v>38</v>
      </c>
      <c r="BM127" s="61"/>
      <c r="BN127" s="61"/>
      <c r="BO127" s="61"/>
      <c r="BP127" s="61"/>
      <c r="BQ127" s="61"/>
      <c r="BR127" s="61"/>
      <c r="BS127" s="61"/>
      <c r="BT127" s="61"/>
      <c r="BU127" s="61"/>
      <c r="BV127" s="61"/>
      <c r="BW127" s="61">
        <v>10</v>
      </c>
      <c r="BX127" s="61"/>
      <c r="BY127" s="61">
        <v>20</v>
      </c>
      <c r="BZ127" s="61"/>
      <c r="CA127" s="61"/>
      <c r="CB127" s="61"/>
      <c r="CC127" s="61"/>
      <c r="CD127" s="61"/>
      <c r="CE127" s="61"/>
      <c r="CF127" s="61"/>
      <c r="CG127" s="61"/>
      <c r="CH127" s="61"/>
      <c r="CI127" s="61"/>
      <c r="CJ127" s="61"/>
      <c r="CK127" s="61"/>
      <c r="CL127" s="61"/>
      <c r="CM127" s="61"/>
      <c r="CN127" s="61"/>
      <c r="CO127" s="61"/>
      <c r="CP127" s="61"/>
      <c r="CQ127" s="61"/>
      <c r="CR127" s="61"/>
      <c r="CS127" s="61"/>
      <c r="CT127" s="61"/>
      <c r="CU127" s="61"/>
      <c r="CV127" s="61"/>
      <c r="CW127" s="61"/>
      <c r="CX127" s="61"/>
      <c r="CY127" s="61"/>
      <c r="CZ127" s="61">
        <v>1</v>
      </c>
      <c r="DA127" s="61"/>
      <c r="DB127" s="61"/>
      <c r="DC127" s="61"/>
      <c r="DD127" s="61"/>
      <c r="DE127" s="61">
        <v>75</v>
      </c>
      <c r="DF127" s="61"/>
      <c r="DG127" s="61"/>
      <c r="DH127" s="61"/>
      <c r="DI127" s="61"/>
      <c r="DJ127" s="61"/>
      <c r="DK127" s="61"/>
      <c r="DL127" s="61"/>
      <c r="DM127" s="61"/>
      <c r="DN127" s="61"/>
      <c r="DO127" s="61"/>
      <c r="DP127" s="61"/>
      <c r="DQ127" s="61"/>
      <c r="DR127" s="61"/>
      <c r="DS127" s="61"/>
      <c r="DT127" s="61"/>
      <c r="DU127" s="61"/>
      <c r="DV127" s="61"/>
      <c r="DW127" s="61"/>
    </row>
    <row r="128" spans="1:127" ht="30.75" customHeight="1">
      <c r="A128" s="167"/>
      <c r="B128" s="167"/>
      <c r="C128" s="167"/>
      <c r="D128" s="167"/>
      <c r="E128" s="168"/>
      <c r="F128" s="66" t="s">
        <v>199</v>
      </c>
      <c r="G128" s="79">
        <f aca="true" t="shared" si="152" ref="G128:N128">IF(G127=0,"",завтракл*G127/1000)</f>
      </c>
      <c r="H128" s="47">
        <f t="shared" si="152"/>
      </c>
      <c r="I128" s="46">
        <f t="shared" si="152"/>
      </c>
      <c r="J128" s="47">
        <f t="shared" si="152"/>
      </c>
      <c r="K128" s="46">
        <f t="shared" si="152"/>
      </c>
      <c r="L128" s="46">
        <f t="shared" si="152"/>
      </c>
      <c r="M128" s="46">
        <f t="shared" si="152"/>
      </c>
      <c r="N128" s="89">
        <f t="shared" si="152"/>
      </c>
      <c r="O128" s="48">
        <f aca="true" t="shared" si="153" ref="O128:V128">IF(O127=0,"",обідл*O127/1000)</f>
      </c>
      <c r="P128" s="46">
        <f t="shared" si="153"/>
        <v>1.92</v>
      </c>
      <c r="Q128" s="47">
        <f t="shared" si="153"/>
      </c>
      <c r="R128" s="46">
        <f t="shared" si="153"/>
      </c>
      <c r="S128" s="47">
        <f t="shared" si="153"/>
      </c>
      <c r="T128" s="46">
        <f t="shared" si="153"/>
      </c>
      <c r="U128" s="47">
        <f t="shared" si="153"/>
      </c>
      <c r="V128" s="46">
        <f t="shared" si="153"/>
      </c>
      <c r="W128" s="46">
        <f>IF(W127=0,"",полдникл*W127/1000)</f>
      </c>
      <c r="X128" s="46">
        <f>IF(X127=0,"",полдникл*X127/1000)</f>
      </c>
      <c r="Y128" s="89">
        <f>IF(Y127=0,"",полдникл*Y127/1000)</f>
      </c>
      <c r="Z128" s="48">
        <f aca="true" t="shared" si="154" ref="Z128:AG128">IF(Z127=0,"",ужинл*Z127/1000)</f>
      </c>
      <c r="AA128" s="47">
        <f t="shared" si="154"/>
      </c>
      <c r="AB128" s="46">
        <f t="shared" si="154"/>
      </c>
      <c r="AC128" s="47">
        <f t="shared" si="154"/>
      </c>
      <c r="AD128" s="46">
        <f t="shared" si="154"/>
      </c>
      <c r="AE128" s="47">
        <f t="shared" si="154"/>
      </c>
      <c r="AF128" s="46">
        <f t="shared" si="154"/>
      </c>
      <c r="AG128" s="89">
        <f t="shared" si="154"/>
      </c>
      <c r="AH128" s="153"/>
      <c r="AI128" s="161"/>
      <c r="AJ128" s="162"/>
      <c r="AK128" s="154"/>
      <c r="AL128" s="154"/>
      <c r="AM128" s="214"/>
      <c r="AN128" s="156"/>
      <c r="AP128">
        <v>124</v>
      </c>
      <c r="AQ128" s="61" t="s">
        <v>225</v>
      </c>
      <c r="AR128" s="61"/>
      <c r="AS128" s="61"/>
      <c r="AT128" s="61"/>
      <c r="AU128" s="61"/>
      <c r="AV128" s="61"/>
      <c r="AW128" s="61"/>
      <c r="AX128" s="61"/>
      <c r="AY128" s="61"/>
      <c r="AZ128" s="61"/>
      <c r="BA128" s="61"/>
      <c r="BB128" s="61"/>
      <c r="BC128" s="61"/>
      <c r="BD128" s="61"/>
      <c r="BE128" s="61"/>
      <c r="BF128" s="61"/>
      <c r="BG128" s="61"/>
      <c r="BH128" s="61"/>
      <c r="BI128" s="61"/>
      <c r="BJ128" s="61"/>
      <c r="BK128" s="61"/>
      <c r="BL128" s="61"/>
      <c r="BM128" s="61"/>
      <c r="BN128" s="61"/>
      <c r="BO128" s="61"/>
      <c r="BP128" s="61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61"/>
      <c r="CC128" s="61"/>
      <c r="CD128" s="61"/>
      <c r="CE128" s="61"/>
      <c r="CF128" s="61"/>
      <c r="CG128" s="61"/>
      <c r="CH128" s="61"/>
      <c r="CI128" s="61"/>
      <c r="CJ128" s="61"/>
      <c r="CK128" s="61"/>
      <c r="CL128" s="61"/>
      <c r="CM128" s="61"/>
      <c r="CN128" s="61"/>
      <c r="CO128" s="61"/>
      <c r="CP128" s="61"/>
      <c r="CQ128" s="61"/>
      <c r="CR128" s="61"/>
      <c r="CS128" s="61"/>
      <c r="CT128" s="61"/>
      <c r="CU128" s="61"/>
      <c r="CV128" s="61"/>
      <c r="CW128" s="61"/>
      <c r="CX128" s="61"/>
      <c r="CY128" s="61"/>
      <c r="CZ128" s="61"/>
      <c r="DA128" s="61"/>
      <c r="DB128" s="61"/>
      <c r="DC128" s="61"/>
      <c r="DD128" s="61"/>
      <c r="DE128" s="61">
        <v>100</v>
      </c>
      <c r="DF128" s="61">
        <v>100</v>
      </c>
      <c r="DG128" s="61"/>
      <c r="DH128" s="61"/>
      <c r="DI128" s="61"/>
      <c r="DJ128" s="61"/>
      <c r="DK128" s="61"/>
      <c r="DL128" s="61"/>
      <c r="DM128" s="61"/>
      <c r="DN128" s="61"/>
      <c r="DO128" s="61"/>
      <c r="DP128" s="61"/>
      <c r="DQ128" s="61"/>
      <c r="DR128" s="61"/>
      <c r="DS128" s="61"/>
      <c r="DT128" s="61"/>
      <c r="DU128" s="61"/>
      <c r="DV128" s="61"/>
      <c r="DW128" s="61"/>
    </row>
    <row r="129" spans="1:127" ht="30.75" customHeight="1">
      <c r="A129" s="191" t="s">
        <v>47</v>
      </c>
      <c r="B129" s="191"/>
      <c r="C129" s="191"/>
      <c r="D129" s="191"/>
      <c r="E129" s="192"/>
      <c r="F129" s="71" t="s">
        <v>198</v>
      </c>
      <c r="G129" s="80">
        <f>VLOOKUP(завтрак1,таб,45,FALSE)</f>
        <v>0</v>
      </c>
      <c r="H129" s="37">
        <f>VLOOKUP(завтрак2,таб,45,FALSE)</f>
        <v>0</v>
      </c>
      <c r="I129" s="38">
        <f>VLOOKUP(завтрак3,таб,45,FALSE)</f>
        <v>0</v>
      </c>
      <c r="J129" s="37">
        <f>VLOOKUP(завтрак4,таб,45,FALSE)</f>
        <v>0</v>
      </c>
      <c r="K129" s="38">
        <f>VLOOKUP(завтрак5,таб,45,FALSE)</f>
        <v>0</v>
      </c>
      <c r="L129" s="38">
        <f>VLOOKUP(завтрак6,таб,45,FALSE)</f>
        <v>0</v>
      </c>
      <c r="M129" s="28">
        <f>VLOOKUP(завтрак7,таб,45,FALSE)</f>
        <v>0</v>
      </c>
      <c r="N129" s="88">
        <f>VLOOKUP(завтрак8,таб,45,FALSE)</f>
        <v>0</v>
      </c>
      <c r="O129" s="39">
        <f>VLOOKUP(обед1,таб,45,FALSE)</f>
        <v>14</v>
      </c>
      <c r="P129" s="38">
        <f>VLOOKUP(обед2,таб,45,FALSE)</f>
        <v>30</v>
      </c>
      <c r="Q129" s="37">
        <f>VLOOKUP(обед3,таб,45,FALSE)</f>
        <v>0</v>
      </c>
      <c r="R129" s="38">
        <f>VLOOKUP(обед4,таб,45,FALSE)</f>
        <v>0</v>
      </c>
      <c r="S129" s="37">
        <f>VLOOKUP(обед5,таб,45,FALSE)</f>
        <v>0</v>
      </c>
      <c r="T129" s="38">
        <f>VLOOKUP(обед6,таб,45,FALSE)</f>
        <v>0</v>
      </c>
      <c r="U129" s="37">
        <f>VLOOKUP(обед7,таб,45,FALSE)</f>
        <v>0</v>
      </c>
      <c r="V129" s="38">
        <f>VLOOKUP(обед8,таб,45,FALSE)</f>
        <v>0</v>
      </c>
      <c r="W129" s="38">
        <f>VLOOKUP(полдник1,таб,45,FALSE)</f>
        <v>0</v>
      </c>
      <c r="X129" s="38">
        <f>VLOOKUP(полдник2,таб,45,FALSE)</f>
        <v>0</v>
      </c>
      <c r="Y129" s="95">
        <f>VLOOKUP(полдник3,таб,45,FALSE)</f>
        <v>0</v>
      </c>
      <c r="Z129" s="39">
        <f>VLOOKUP(ужин1,таб,45,FALSE)</f>
        <v>0</v>
      </c>
      <c r="AA129" s="37">
        <f>VLOOKUP(ужин2,таб,45,FALSE)</f>
        <v>0</v>
      </c>
      <c r="AB129" s="38">
        <f>VLOOKUP(ужин3,таб,45,FALSE)</f>
        <v>0</v>
      </c>
      <c r="AC129" s="37">
        <f>VLOOKUP(ужин4,таб,45,FALSE)</f>
        <v>0</v>
      </c>
      <c r="AD129" s="38">
        <f>VLOOKUP(ужин5,таб,45,FALSE)</f>
        <v>0</v>
      </c>
      <c r="AE129" s="37">
        <f>VLOOKUP(ужин6,таб,45,FALSE)</f>
        <v>0</v>
      </c>
      <c r="AF129" s="38">
        <f>VLOOKUP(ужин7,таб,45,FALSE)</f>
        <v>0</v>
      </c>
      <c r="AG129" s="95">
        <f>VLOOKUP(ужин8,таб,45,FALSE)</f>
        <v>0</v>
      </c>
      <c r="AH129" s="152">
        <v>616062</v>
      </c>
      <c r="AI129" s="161">
        <f>AK129/сред</f>
        <v>0.044</v>
      </c>
      <c r="AJ129" s="162"/>
      <c r="AK129" s="154">
        <f>SUM(G130:AG130)</f>
        <v>0.704</v>
      </c>
      <c r="AL129" s="154"/>
      <c r="AM129" s="213">
        <f>IF(AK129=0,0,CI117)</f>
        <v>10.5</v>
      </c>
      <c r="AN129" s="155">
        <f>AK129*AM129</f>
        <v>7.3919999999999995</v>
      </c>
      <c r="AP129">
        <v>125</v>
      </c>
      <c r="AQ129" s="61" t="s">
        <v>227</v>
      </c>
      <c r="AR129" s="61"/>
      <c r="AS129" s="61"/>
      <c r="AT129" s="61"/>
      <c r="AU129" s="61"/>
      <c r="AV129" s="61"/>
      <c r="AW129" s="61"/>
      <c r="AX129" s="61"/>
      <c r="AY129" s="61"/>
      <c r="AZ129" s="61"/>
      <c r="BA129" s="61"/>
      <c r="BB129" s="61"/>
      <c r="BC129" s="61"/>
      <c r="BD129" s="61"/>
      <c r="BE129" s="61"/>
      <c r="BF129" s="61"/>
      <c r="BG129" s="61"/>
      <c r="BH129" s="61"/>
      <c r="BI129" s="61"/>
      <c r="BJ129" s="61"/>
      <c r="BK129" s="61"/>
      <c r="BL129" s="61"/>
      <c r="BM129" s="61"/>
      <c r="BN129" s="61"/>
      <c r="BO129" s="61"/>
      <c r="BP129" s="61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61"/>
      <c r="CC129" s="61"/>
      <c r="CD129" s="61"/>
      <c r="CE129" s="61"/>
      <c r="CF129" s="61"/>
      <c r="CG129" s="61"/>
      <c r="CH129" s="61"/>
      <c r="CI129" s="61"/>
      <c r="CJ129" s="61"/>
      <c r="CK129" s="61"/>
      <c r="CL129" s="61"/>
      <c r="CM129" s="61"/>
      <c r="CN129" s="61"/>
      <c r="CO129" s="61"/>
      <c r="CP129" s="61"/>
      <c r="CQ129" s="61"/>
      <c r="CR129" s="61"/>
      <c r="CS129" s="61"/>
      <c r="CT129" s="61"/>
      <c r="CU129" s="61"/>
      <c r="CV129" s="61"/>
      <c r="CW129" s="61"/>
      <c r="CX129" s="61"/>
      <c r="CY129" s="61"/>
      <c r="CZ129" s="61"/>
      <c r="DA129" s="61"/>
      <c r="DB129" s="61"/>
      <c r="DC129" s="61"/>
      <c r="DD129" s="61"/>
      <c r="DE129" s="61">
        <v>300</v>
      </c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>
        <v>300</v>
      </c>
      <c r="DQ129" s="61"/>
      <c r="DR129" s="61"/>
      <c r="DS129" s="61"/>
      <c r="DT129" s="61"/>
      <c r="DU129" s="61"/>
      <c r="DV129" s="61"/>
      <c r="DW129" s="61"/>
    </row>
    <row r="130" spans="1:127" ht="30.75" customHeight="1">
      <c r="A130" s="195"/>
      <c r="B130" s="195"/>
      <c r="C130" s="195"/>
      <c r="D130" s="195"/>
      <c r="E130" s="196"/>
      <c r="F130" s="66" t="s">
        <v>199</v>
      </c>
      <c r="G130" s="81">
        <f aca="true" t="shared" si="155" ref="G130:N130">IF(G129=0,"",завтракл*G129/1000)</f>
      </c>
      <c r="H130" s="49">
        <f t="shared" si="155"/>
      </c>
      <c r="I130" s="45">
        <f t="shared" si="155"/>
      </c>
      <c r="J130" s="49">
        <f t="shared" si="155"/>
      </c>
      <c r="K130" s="45">
        <f t="shared" si="155"/>
      </c>
      <c r="L130" s="45">
        <f t="shared" si="155"/>
      </c>
      <c r="M130" s="46">
        <f t="shared" si="155"/>
      </c>
      <c r="N130" s="89">
        <f t="shared" si="155"/>
      </c>
      <c r="O130" s="50">
        <f aca="true" t="shared" si="156" ref="O130:V130">IF(O129=0,"",обідл*O129/1000)</f>
        <v>0.224</v>
      </c>
      <c r="P130" s="45">
        <f t="shared" si="156"/>
        <v>0.48</v>
      </c>
      <c r="Q130" s="49">
        <f t="shared" si="156"/>
      </c>
      <c r="R130" s="45">
        <f t="shared" si="156"/>
      </c>
      <c r="S130" s="49">
        <f t="shared" si="156"/>
      </c>
      <c r="T130" s="45">
        <f t="shared" si="156"/>
      </c>
      <c r="U130" s="49">
        <f t="shared" si="156"/>
      </c>
      <c r="V130" s="45">
        <f t="shared" si="156"/>
      </c>
      <c r="W130" s="45">
        <f>IF(W129=0,"",полдникл*W129/1000)</f>
      </c>
      <c r="X130" s="45">
        <f>IF(X129=0,"",полдникл*X129/1000)</f>
      </c>
      <c r="Y130" s="92">
        <f>IF(Y129=0,"",полдникл*Y129/1000)</f>
      </c>
      <c r="Z130" s="50">
        <f aca="true" t="shared" si="157" ref="Z130:AG130">IF(Z129=0,"",ужинл*Z129/1000)</f>
      </c>
      <c r="AA130" s="49">
        <f t="shared" si="157"/>
      </c>
      <c r="AB130" s="45">
        <f t="shared" si="157"/>
      </c>
      <c r="AC130" s="49">
        <f t="shared" si="157"/>
      </c>
      <c r="AD130" s="45">
        <f t="shared" si="157"/>
      </c>
      <c r="AE130" s="49">
        <f t="shared" si="157"/>
      </c>
      <c r="AF130" s="45">
        <f t="shared" si="157"/>
      </c>
      <c r="AG130" s="92">
        <f t="shared" si="157"/>
      </c>
      <c r="AH130" s="153"/>
      <c r="AI130" s="161"/>
      <c r="AJ130" s="162"/>
      <c r="AK130" s="154"/>
      <c r="AL130" s="154"/>
      <c r="AM130" s="214"/>
      <c r="AN130" s="156"/>
      <c r="AP130">
        <v>126</v>
      </c>
      <c r="AQ130" s="61" t="s">
        <v>229</v>
      </c>
      <c r="AR130" s="61"/>
      <c r="AS130" s="61"/>
      <c r="AT130" s="61"/>
      <c r="AU130" s="61"/>
      <c r="AV130" s="61"/>
      <c r="AW130" s="61"/>
      <c r="AX130" s="61"/>
      <c r="AY130" s="61"/>
      <c r="AZ130" s="61"/>
      <c r="BA130" s="61"/>
      <c r="BB130" s="61"/>
      <c r="BC130" s="61">
        <v>5</v>
      </c>
      <c r="BD130" s="61"/>
      <c r="BE130" s="61"/>
      <c r="BF130" s="61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61"/>
      <c r="CC130" s="61"/>
      <c r="CD130" s="61"/>
      <c r="CE130" s="61"/>
      <c r="CF130" s="61"/>
      <c r="CG130" s="61">
        <v>27</v>
      </c>
      <c r="CH130" s="61"/>
      <c r="CI130" s="61">
        <v>14</v>
      </c>
      <c r="CJ130" s="61">
        <v>12</v>
      </c>
      <c r="CK130" s="61"/>
      <c r="CL130" s="61">
        <v>19</v>
      </c>
      <c r="CM130" s="61"/>
      <c r="CN130" s="61"/>
      <c r="CO130" s="61">
        <v>17</v>
      </c>
      <c r="CP130" s="61"/>
      <c r="CQ130" s="61"/>
      <c r="CR130" s="61"/>
      <c r="CS130" s="61"/>
      <c r="CT130" s="61"/>
      <c r="CU130" s="61"/>
      <c r="CV130" s="61"/>
      <c r="CW130" s="61"/>
      <c r="CX130" s="61"/>
      <c r="CY130" s="61"/>
      <c r="CZ130" s="61"/>
      <c r="DA130" s="61"/>
      <c r="DB130" s="61"/>
      <c r="DC130" s="61"/>
      <c r="DD130" s="61"/>
      <c r="DE130" s="61">
        <v>75</v>
      </c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61"/>
      <c r="DU130" s="61"/>
      <c r="DV130" s="61"/>
      <c r="DW130" s="61"/>
    </row>
    <row r="131" spans="1:127" ht="30.75" customHeight="1">
      <c r="A131" s="167" t="s">
        <v>48</v>
      </c>
      <c r="B131" s="167"/>
      <c r="C131" s="167"/>
      <c r="D131" s="167"/>
      <c r="E131" s="168"/>
      <c r="F131" s="71" t="s">
        <v>198</v>
      </c>
      <c r="G131" s="78">
        <f>VLOOKUP(завтрак1,таб,46,FALSE)</f>
        <v>0</v>
      </c>
      <c r="H131" s="34">
        <f>VLOOKUP(завтрак2,таб,46,FALSE)</f>
        <v>0</v>
      </c>
      <c r="I131" s="35">
        <f>VLOOKUP(завтрак3,таб,46,FALSE)</f>
        <v>0</v>
      </c>
      <c r="J131" s="34">
        <f>VLOOKUP(завтрак4,таб,46,FALSE)</f>
        <v>0</v>
      </c>
      <c r="K131" s="35">
        <f>VLOOKUP(завтрак5,таб,46,FALSE)</f>
        <v>0</v>
      </c>
      <c r="L131" s="35">
        <f>VLOOKUP(завтрак6,таб,46,FALSE)</f>
        <v>0</v>
      </c>
      <c r="M131" s="28">
        <f>VLOOKUP(завтрак7,таб,46,FALSE)</f>
        <v>0</v>
      </c>
      <c r="N131" s="88">
        <f>VLOOKUP(завтрак8,таб,46,FALSE)</f>
        <v>0</v>
      </c>
      <c r="O131" s="36">
        <f>VLOOKUP(обед1,таб,46,FALSE)</f>
        <v>15</v>
      </c>
      <c r="P131" s="35">
        <f>VLOOKUP(обед2,таб,46,FALSE)</f>
        <v>0</v>
      </c>
      <c r="Q131" s="34">
        <f>VLOOKUP(обед3,таб,46,FALSE)</f>
        <v>0</v>
      </c>
      <c r="R131" s="35">
        <f>VLOOKUP(обед4,таб,46,FALSE)</f>
        <v>0</v>
      </c>
      <c r="S131" s="34">
        <f>VLOOKUP(обед5,таб,46,FALSE)</f>
        <v>0</v>
      </c>
      <c r="T131" s="35">
        <f>VLOOKUP(обед6,таб,46,FALSE)</f>
        <v>0</v>
      </c>
      <c r="U131" s="34">
        <f>VLOOKUP(обед7,таб,46,FALSE)</f>
        <v>0</v>
      </c>
      <c r="V131" s="35">
        <f>VLOOKUP(обед8,таб,46,FALSE)</f>
        <v>0</v>
      </c>
      <c r="W131" s="35">
        <f>VLOOKUP(полдник1,таб,46,FALSE)</f>
        <v>0</v>
      </c>
      <c r="X131" s="35">
        <f>VLOOKUP(полдник2,таб,46,FALSE)</f>
        <v>0</v>
      </c>
      <c r="Y131" s="94">
        <f>VLOOKUP(полдник3,таб,46,FALSE)</f>
        <v>0</v>
      </c>
      <c r="Z131" s="36">
        <f>VLOOKUP(ужин1,таб,46,FALSE)</f>
        <v>0</v>
      </c>
      <c r="AA131" s="34">
        <f>VLOOKUP(ужин2,таб,46,FALSE)</f>
        <v>0</v>
      </c>
      <c r="AB131" s="35">
        <f>VLOOKUP(ужин3,таб,46,FALSE)</f>
        <v>0</v>
      </c>
      <c r="AC131" s="34">
        <f>VLOOKUP(ужин4,таб,46,FALSE)</f>
        <v>0</v>
      </c>
      <c r="AD131" s="35">
        <f>VLOOKUP(ужин5,таб,46,FALSE)</f>
        <v>0</v>
      </c>
      <c r="AE131" s="34">
        <f>VLOOKUP(ужин6,таб,46,FALSE)</f>
        <v>0</v>
      </c>
      <c r="AF131" s="35">
        <f>VLOOKUP(ужин7,таб,46,FALSE)</f>
        <v>0</v>
      </c>
      <c r="AG131" s="94">
        <f>VLOOKUP(ужин8,таб,46,FALSE)</f>
        <v>0</v>
      </c>
      <c r="AH131" s="152">
        <v>615084</v>
      </c>
      <c r="AI131" s="161">
        <f>AK131/сред</f>
        <v>0.015</v>
      </c>
      <c r="AJ131" s="162"/>
      <c r="AK131" s="154">
        <f>SUM(G132:AG132)</f>
        <v>0.24</v>
      </c>
      <c r="AL131" s="154"/>
      <c r="AM131" s="213">
        <f>IF(AK131=0,0,CJ117)</f>
        <v>8</v>
      </c>
      <c r="AN131" s="155">
        <f>AK131*AM131</f>
        <v>1.92</v>
      </c>
      <c r="AP131">
        <v>127</v>
      </c>
      <c r="AQ131" s="61" t="s">
        <v>230</v>
      </c>
      <c r="AR131" s="61">
        <v>54</v>
      </c>
      <c r="AS131" s="61"/>
      <c r="AT131" s="61"/>
      <c r="AU131" s="61"/>
      <c r="AV131" s="61"/>
      <c r="AW131" s="61"/>
      <c r="AX131" s="61"/>
      <c r="AY131" s="61"/>
      <c r="AZ131" s="61"/>
      <c r="BA131" s="61"/>
      <c r="BB131" s="61"/>
      <c r="BC131" s="61">
        <v>3</v>
      </c>
      <c r="BD131" s="61"/>
      <c r="BE131" s="61"/>
      <c r="BF131" s="61"/>
      <c r="BG131" s="61">
        <v>20</v>
      </c>
      <c r="BH131" s="61"/>
      <c r="BI131" s="61"/>
      <c r="BJ131" s="61"/>
      <c r="BK131" s="61"/>
      <c r="BL131" s="61"/>
      <c r="BM131" s="61"/>
      <c r="BN131" s="61"/>
      <c r="BO131" s="61"/>
      <c r="BP131" s="61"/>
      <c r="BQ131" s="61"/>
      <c r="BR131" s="61">
        <v>5</v>
      </c>
      <c r="BS131" s="61"/>
      <c r="BT131" s="61"/>
      <c r="BU131" s="61"/>
      <c r="BV131" s="61"/>
      <c r="BW131" s="61"/>
      <c r="BX131" s="61"/>
      <c r="BY131" s="61"/>
      <c r="BZ131" s="61"/>
      <c r="CA131" s="61"/>
      <c r="CB131" s="61"/>
      <c r="CC131" s="61"/>
      <c r="CD131" s="61"/>
      <c r="CE131" s="61"/>
      <c r="CF131" s="61"/>
      <c r="CG131" s="61"/>
      <c r="CH131" s="61">
        <v>81</v>
      </c>
      <c r="CI131" s="61">
        <v>11</v>
      </c>
      <c r="CJ131" s="61"/>
      <c r="CK131" s="61"/>
      <c r="CL131" s="61"/>
      <c r="CM131" s="61">
        <v>2</v>
      </c>
      <c r="CN131" s="61"/>
      <c r="CO131" s="61"/>
      <c r="CP131" s="61"/>
      <c r="CQ131" s="61"/>
      <c r="CR131" s="61"/>
      <c r="CS131" s="61"/>
      <c r="CT131" s="61"/>
      <c r="CU131" s="61"/>
      <c r="CV131" s="61"/>
      <c r="CW131" s="61"/>
      <c r="CX131" s="61"/>
      <c r="CY131" s="61"/>
      <c r="CZ131" s="61"/>
      <c r="DA131" s="61"/>
      <c r="DB131" s="61"/>
      <c r="DC131" s="61"/>
      <c r="DD131" s="61"/>
      <c r="DE131" s="61">
        <v>150</v>
      </c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61"/>
      <c r="DU131" s="61"/>
      <c r="DV131" s="61"/>
      <c r="DW131" s="61"/>
    </row>
    <row r="132" spans="1:127" ht="30.75" customHeight="1">
      <c r="A132" s="167"/>
      <c r="B132" s="167"/>
      <c r="C132" s="167"/>
      <c r="D132" s="167"/>
      <c r="E132" s="168"/>
      <c r="F132" s="66" t="s">
        <v>199</v>
      </c>
      <c r="G132" s="79">
        <f aca="true" t="shared" si="158" ref="G132:N132">IF(G131=0,"",завтракл*G131/1000)</f>
      </c>
      <c r="H132" s="47">
        <f t="shared" si="158"/>
      </c>
      <c r="I132" s="46">
        <f t="shared" si="158"/>
      </c>
      <c r="J132" s="47">
        <f t="shared" si="158"/>
      </c>
      <c r="K132" s="46">
        <f t="shared" si="158"/>
      </c>
      <c r="L132" s="46">
        <f t="shared" si="158"/>
      </c>
      <c r="M132" s="46">
        <f t="shared" si="158"/>
      </c>
      <c r="N132" s="89">
        <f t="shared" si="158"/>
      </c>
      <c r="O132" s="48">
        <f aca="true" t="shared" si="159" ref="O132:V132">IF(O131=0,"",обідл*O131/1000)</f>
        <v>0.24</v>
      </c>
      <c r="P132" s="46">
        <f t="shared" si="159"/>
      </c>
      <c r="Q132" s="47">
        <f t="shared" si="159"/>
      </c>
      <c r="R132" s="46">
        <f t="shared" si="159"/>
      </c>
      <c r="S132" s="47">
        <f t="shared" si="159"/>
      </c>
      <c r="T132" s="46">
        <f t="shared" si="159"/>
      </c>
      <c r="U132" s="47">
        <f t="shared" si="159"/>
      </c>
      <c r="V132" s="46">
        <f t="shared" si="159"/>
      </c>
      <c r="W132" s="46">
        <f>IF(W131=0,"",полдникл*W131/1000)</f>
      </c>
      <c r="X132" s="46">
        <f>IF(X131=0,"",полдникл*X131/1000)</f>
      </c>
      <c r="Y132" s="89">
        <f>IF(Y131=0,"",полдникл*Y131/1000)</f>
      </c>
      <c r="Z132" s="48">
        <f aca="true" t="shared" si="160" ref="Z132:AG132">IF(Z131=0,"",ужинл*Z131/1000)</f>
      </c>
      <c r="AA132" s="47">
        <f t="shared" si="160"/>
      </c>
      <c r="AB132" s="46">
        <f t="shared" si="160"/>
      </c>
      <c r="AC132" s="47">
        <f t="shared" si="160"/>
      </c>
      <c r="AD132" s="46">
        <f t="shared" si="160"/>
      </c>
      <c r="AE132" s="47">
        <f t="shared" si="160"/>
      </c>
      <c r="AF132" s="46">
        <f t="shared" si="160"/>
      </c>
      <c r="AG132" s="89">
        <f t="shared" si="160"/>
      </c>
      <c r="AH132" s="153"/>
      <c r="AI132" s="161"/>
      <c r="AJ132" s="162"/>
      <c r="AK132" s="154"/>
      <c r="AL132" s="154"/>
      <c r="AM132" s="214"/>
      <c r="AN132" s="156"/>
      <c r="AP132">
        <v>128</v>
      </c>
      <c r="AQ132" s="61" t="s">
        <v>231</v>
      </c>
      <c r="AR132" s="61"/>
      <c r="AS132" s="61"/>
      <c r="AT132" s="61"/>
      <c r="AU132" s="61"/>
      <c r="AV132" s="61"/>
      <c r="AW132" s="61"/>
      <c r="AX132" s="61"/>
      <c r="AY132" s="61"/>
      <c r="AZ132" s="61"/>
      <c r="BA132" s="61"/>
      <c r="BB132" s="61"/>
      <c r="BC132" s="61">
        <v>2</v>
      </c>
      <c r="BD132" s="61"/>
      <c r="BE132" s="61"/>
      <c r="BF132" s="61"/>
      <c r="BG132" s="61"/>
      <c r="BH132" s="61"/>
      <c r="BI132" s="61"/>
      <c r="BJ132" s="61">
        <v>0.1</v>
      </c>
      <c r="BK132" s="61"/>
      <c r="BL132" s="61">
        <v>28</v>
      </c>
      <c r="BM132" s="61"/>
      <c r="BN132" s="61"/>
      <c r="BO132" s="61"/>
      <c r="BP132" s="61"/>
      <c r="BQ132" s="61"/>
      <c r="BR132" s="61"/>
      <c r="BS132" s="61"/>
      <c r="BT132" s="61"/>
      <c r="BU132" s="61"/>
      <c r="BV132" s="61"/>
      <c r="BW132" s="61">
        <v>1</v>
      </c>
      <c r="BX132" s="61"/>
      <c r="BY132" s="61"/>
      <c r="BZ132" s="61"/>
      <c r="CA132" s="61"/>
      <c r="CB132" s="61"/>
      <c r="CC132" s="61"/>
      <c r="CD132" s="61"/>
      <c r="CE132" s="61"/>
      <c r="CF132" s="61"/>
      <c r="CG132" s="61">
        <v>63</v>
      </c>
      <c r="CH132" s="61"/>
      <c r="CI132" s="61">
        <v>16</v>
      </c>
      <c r="CJ132" s="61"/>
      <c r="CK132" s="61"/>
      <c r="CL132" s="61"/>
      <c r="CM132" s="61"/>
      <c r="CN132" s="61"/>
      <c r="CO132" s="61"/>
      <c r="CP132" s="61"/>
      <c r="CQ132" s="61"/>
      <c r="CR132" s="61"/>
      <c r="CS132" s="61"/>
      <c r="CT132" s="61"/>
      <c r="CU132" s="61"/>
      <c r="CV132" s="61"/>
      <c r="CW132" s="61"/>
      <c r="CX132" s="61"/>
      <c r="CY132" s="61"/>
      <c r="CZ132" s="61"/>
      <c r="DA132" s="61"/>
      <c r="DB132" s="61"/>
      <c r="DC132" s="61"/>
      <c r="DD132" s="61"/>
      <c r="DE132" s="61">
        <v>100</v>
      </c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61"/>
      <c r="DU132" s="61"/>
      <c r="DV132" s="61"/>
      <c r="DW132" s="61"/>
    </row>
    <row r="133" spans="1:127" ht="30.75" customHeight="1">
      <c r="A133" s="191" t="s">
        <v>333</v>
      </c>
      <c r="B133" s="191"/>
      <c r="C133" s="191"/>
      <c r="D133" s="191"/>
      <c r="E133" s="192"/>
      <c r="F133" s="71" t="s">
        <v>198</v>
      </c>
      <c r="G133" s="80">
        <f>VLOOKUP(завтрак1,таб,47,FALSE)</f>
        <v>0</v>
      </c>
      <c r="H133" s="37">
        <f>VLOOKUP(завтрак2,таб,47,FALSE)</f>
        <v>0</v>
      </c>
      <c r="I133" s="38">
        <f>VLOOKUP(завтрак3,таб,47,FALSE)</f>
        <v>0</v>
      </c>
      <c r="J133" s="37">
        <f>VLOOKUP(завтрак4,таб,47,FALSE)</f>
        <v>0</v>
      </c>
      <c r="K133" s="38">
        <f>VLOOKUP(завтрак5,таб,47,FALSE)</f>
        <v>0</v>
      </c>
      <c r="L133" s="38">
        <f>VLOOKUP(завтрак6,таб,47,FALSE)</f>
        <v>0</v>
      </c>
      <c r="M133" s="28">
        <f>VLOOKUP(завтрак7,таб,47,FALSE)</f>
        <v>0</v>
      </c>
      <c r="N133" s="88">
        <f>VLOOKUP(завтрак8,таб,47,FALSE)</f>
        <v>0</v>
      </c>
      <c r="O133" s="39">
        <f>VLOOKUP(обед1,таб,47,FALSE)</f>
        <v>0</v>
      </c>
      <c r="P133" s="38">
        <f>VLOOKUP(обед2,таб,47,FALSE)</f>
        <v>0</v>
      </c>
      <c r="Q133" s="37">
        <f>VLOOKUP(обед3,таб,47,FALSE)</f>
        <v>0</v>
      </c>
      <c r="R133" s="38">
        <f>VLOOKUP(обед4,таб,47,FALSE)</f>
        <v>0</v>
      </c>
      <c r="S133" s="37">
        <f>VLOOKUP(обед5,таб,47,FALSE)</f>
        <v>0</v>
      </c>
      <c r="T133" s="38">
        <f>VLOOKUP(обед6,таб,47,FALSE)</f>
        <v>0</v>
      </c>
      <c r="U133" s="37">
        <f>VLOOKUP(обед7,таб,47,FALSE)</f>
        <v>0</v>
      </c>
      <c r="V133" s="38">
        <f>VLOOKUP(обед8,таб,47,FALSE)</f>
        <v>0</v>
      </c>
      <c r="W133" s="38">
        <f>VLOOKUP(полдник1,таб,47,FALSE)</f>
        <v>0</v>
      </c>
      <c r="X133" s="38">
        <f>VLOOKUP(полдник2,таб,47,FALSE)</f>
        <v>0</v>
      </c>
      <c r="Y133" s="95">
        <f>VLOOKUP(полдник3,таб,47,FALSE)</f>
        <v>0</v>
      </c>
      <c r="Z133" s="39">
        <f>VLOOKUP(ужин1,таб,47,FALSE)</f>
        <v>0</v>
      </c>
      <c r="AA133" s="37">
        <f>VLOOKUP(ужин2,таб,47,FALSE)</f>
        <v>0</v>
      </c>
      <c r="AB133" s="38">
        <f>VLOOKUP(ужин3,таб,47,FALSE)</f>
        <v>0</v>
      </c>
      <c r="AC133" s="37">
        <f>VLOOKUP(ужин4,таб,47,FALSE)</f>
        <v>0</v>
      </c>
      <c r="AD133" s="38">
        <f>VLOOKUP(ужин5,таб,47,FALSE)</f>
        <v>0</v>
      </c>
      <c r="AE133" s="37">
        <f>VLOOKUP(ужин6,таб,47,FALSE)</f>
        <v>0</v>
      </c>
      <c r="AF133" s="38">
        <f>VLOOKUP(ужин7,таб,47,FALSE)</f>
        <v>0</v>
      </c>
      <c r="AG133" s="95">
        <f>VLOOKUP(ужин8,таб,47,FALSE)</f>
        <v>0</v>
      </c>
      <c r="AH133" s="152">
        <v>615088</v>
      </c>
      <c r="AI133" s="161">
        <f>AK133/сред</f>
        <v>0</v>
      </c>
      <c r="AJ133" s="162"/>
      <c r="AK133" s="154">
        <f>SUM(G134:AG134)</f>
        <v>0</v>
      </c>
      <c r="AL133" s="154"/>
      <c r="AM133" s="213">
        <f>IF(AK133=0,0,CK117)</f>
        <v>0</v>
      </c>
      <c r="AN133" s="155">
        <f>AK133*AM133</f>
        <v>0</v>
      </c>
      <c r="AP133">
        <v>129</v>
      </c>
      <c r="AQ133" s="61" t="s">
        <v>232</v>
      </c>
      <c r="AR133" s="61"/>
      <c r="AS133" s="61"/>
      <c r="AT133" s="61"/>
      <c r="AU133" s="61"/>
      <c r="AV133" s="61"/>
      <c r="AW133" s="61"/>
      <c r="AX133" s="61"/>
      <c r="AY133" s="61"/>
      <c r="AZ133" s="61">
        <v>5</v>
      </c>
      <c r="BA133" s="61"/>
      <c r="BB133" s="61"/>
      <c r="BC133" s="61">
        <v>2</v>
      </c>
      <c r="BD133" s="61">
        <v>104</v>
      </c>
      <c r="BE133" s="61"/>
      <c r="BF133" s="61"/>
      <c r="BG133" s="61"/>
      <c r="BH133" s="61"/>
      <c r="BI133" s="61"/>
      <c r="BJ133" s="61">
        <v>0.1</v>
      </c>
      <c r="BK133" s="61"/>
      <c r="BL133" s="61">
        <v>42</v>
      </c>
      <c r="BM133" s="61"/>
      <c r="BN133" s="61"/>
      <c r="BO133" s="61"/>
      <c r="BP133" s="61"/>
      <c r="BQ133" s="61"/>
      <c r="BR133" s="61"/>
      <c r="BS133" s="61"/>
      <c r="BT133" s="61"/>
      <c r="BU133" s="61"/>
      <c r="BV133" s="61"/>
      <c r="BW133" s="61">
        <v>2.5</v>
      </c>
      <c r="BX133" s="61"/>
      <c r="BY133" s="61">
        <v>51</v>
      </c>
      <c r="BZ133" s="61"/>
      <c r="CA133" s="61"/>
      <c r="CB133" s="61"/>
      <c r="CC133" s="61"/>
      <c r="CD133" s="61"/>
      <c r="CE133" s="61"/>
      <c r="CF133" s="61"/>
      <c r="CG133" s="61"/>
      <c r="CH133" s="61"/>
      <c r="CI133" s="61"/>
      <c r="CJ133" s="61"/>
      <c r="CK133" s="61"/>
      <c r="CL133" s="61"/>
      <c r="CM133" s="61"/>
      <c r="CN133" s="61"/>
      <c r="CO133" s="61"/>
      <c r="CP133" s="61"/>
      <c r="CQ133" s="61"/>
      <c r="CR133" s="61"/>
      <c r="CS133" s="61"/>
      <c r="CT133" s="61"/>
      <c r="CU133" s="61"/>
      <c r="CV133" s="61"/>
      <c r="CW133" s="61"/>
      <c r="CX133" s="61"/>
      <c r="CY133" s="61"/>
      <c r="CZ133" s="61"/>
      <c r="DA133" s="61"/>
      <c r="DB133" s="61"/>
      <c r="DC133" s="61"/>
      <c r="DD133" s="61"/>
      <c r="DE133" s="61">
        <v>135</v>
      </c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61"/>
      <c r="DU133" s="61"/>
      <c r="DV133" s="61"/>
      <c r="DW133" s="61"/>
    </row>
    <row r="134" spans="1:127" ht="30.75" customHeight="1">
      <c r="A134" s="195"/>
      <c r="B134" s="195"/>
      <c r="C134" s="195"/>
      <c r="D134" s="195"/>
      <c r="E134" s="196"/>
      <c r="F134" s="66" t="s">
        <v>199</v>
      </c>
      <c r="G134" s="81">
        <f aca="true" t="shared" si="161" ref="G134:N134">IF(G133=0,"",завтракл*G133/1000)</f>
      </c>
      <c r="H134" s="49">
        <f t="shared" si="161"/>
      </c>
      <c r="I134" s="45">
        <f t="shared" si="161"/>
      </c>
      <c r="J134" s="49">
        <f t="shared" si="161"/>
      </c>
      <c r="K134" s="45">
        <f t="shared" si="161"/>
      </c>
      <c r="L134" s="45">
        <f t="shared" si="161"/>
      </c>
      <c r="M134" s="46">
        <f t="shared" si="161"/>
      </c>
      <c r="N134" s="89">
        <f t="shared" si="161"/>
      </c>
      <c r="O134" s="50">
        <f aca="true" t="shared" si="162" ref="O134:V134">IF(O133=0,"",обідл*O133/1000)</f>
      </c>
      <c r="P134" s="45">
        <f t="shared" si="162"/>
      </c>
      <c r="Q134" s="49">
        <f t="shared" si="162"/>
      </c>
      <c r="R134" s="45">
        <f t="shared" si="162"/>
      </c>
      <c r="S134" s="49">
        <f t="shared" si="162"/>
      </c>
      <c r="T134" s="45">
        <f t="shared" si="162"/>
      </c>
      <c r="U134" s="49">
        <f t="shared" si="162"/>
      </c>
      <c r="V134" s="45">
        <f t="shared" si="162"/>
      </c>
      <c r="W134" s="45">
        <f>IF(W133=0,"",полдникл*W133/1000)</f>
      </c>
      <c r="X134" s="45">
        <f>IF(X133=0,"",полдникл*X133/1000)</f>
      </c>
      <c r="Y134" s="92">
        <f>IF(Y133=0,"",полдникл*Y133/1000)</f>
      </c>
      <c r="Z134" s="50">
        <f aca="true" t="shared" si="163" ref="Z134:AG134">IF(Z133=0,"",ужинл*Z133/1000)</f>
      </c>
      <c r="AA134" s="49">
        <f t="shared" si="163"/>
      </c>
      <c r="AB134" s="45">
        <f t="shared" si="163"/>
      </c>
      <c r="AC134" s="49">
        <f t="shared" si="163"/>
      </c>
      <c r="AD134" s="45">
        <f t="shared" si="163"/>
      </c>
      <c r="AE134" s="49">
        <f t="shared" si="163"/>
      </c>
      <c r="AF134" s="45">
        <f t="shared" si="163"/>
      </c>
      <c r="AG134" s="92">
        <f t="shared" si="163"/>
      </c>
      <c r="AH134" s="153"/>
      <c r="AI134" s="161"/>
      <c r="AJ134" s="162"/>
      <c r="AK134" s="154"/>
      <c r="AL134" s="154"/>
      <c r="AM134" s="214"/>
      <c r="AN134" s="156"/>
      <c r="AP134">
        <v>130</v>
      </c>
      <c r="AQ134" s="61" t="s">
        <v>233</v>
      </c>
      <c r="AR134" s="61"/>
      <c r="AS134" s="61"/>
      <c r="AT134" s="61"/>
      <c r="AU134" s="61"/>
      <c r="AV134" s="61"/>
      <c r="AW134" s="61"/>
      <c r="AX134" s="61"/>
      <c r="AY134" s="61"/>
      <c r="AZ134" s="61">
        <v>5</v>
      </c>
      <c r="BA134" s="61"/>
      <c r="BB134" s="61"/>
      <c r="BC134" s="61">
        <v>2</v>
      </c>
      <c r="BD134" s="61">
        <v>104</v>
      </c>
      <c r="BE134" s="61"/>
      <c r="BF134" s="61"/>
      <c r="BG134" s="61"/>
      <c r="BH134" s="61"/>
      <c r="BI134" s="61"/>
      <c r="BJ134" s="61">
        <v>0.1</v>
      </c>
      <c r="BK134" s="61"/>
      <c r="BL134" s="61">
        <v>42</v>
      </c>
      <c r="BM134" s="61"/>
      <c r="BN134" s="61"/>
      <c r="BO134" s="61"/>
      <c r="BP134" s="61"/>
      <c r="BQ134" s="61"/>
      <c r="BR134" s="61"/>
      <c r="BS134" s="61"/>
      <c r="BT134" s="61"/>
      <c r="BU134" s="61"/>
      <c r="BV134" s="61"/>
      <c r="BW134" s="61">
        <v>10</v>
      </c>
      <c r="BX134" s="61"/>
      <c r="BY134" s="61">
        <v>51</v>
      </c>
      <c r="BZ134" s="61"/>
      <c r="CA134" s="61"/>
      <c r="CB134" s="61"/>
      <c r="CC134" s="61"/>
      <c r="CD134" s="61"/>
      <c r="CE134" s="61"/>
      <c r="CF134" s="61"/>
      <c r="CG134" s="61"/>
      <c r="CH134" s="61"/>
      <c r="CI134" s="61"/>
      <c r="CJ134" s="61"/>
      <c r="CK134" s="61"/>
      <c r="CL134" s="61"/>
      <c r="CM134" s="61"/>
      <c r="CN134" s="61"/>
      <c r="CO134" s="61"/>
      <c r="CP134" s="61"/>
      <c r="CQ134" s="61"/>
      <c r="CR134" s="61"/>
      <c r="CS134" s="61"/>
      <c r="CT134" s="61"/>
      <c r="CU134" s="61"/>
      <c r="CV134" s="61"/>
      <c r="CW134" s="61"/>
      <c r="CX134" s="61"/>
      <c r="CY134" s="61"/>
      <c r="CZ134" s="61"/>
      <c r="DA134" s="61"/>
      <c r="DB134" s="61"/>
      <c r="DC134" s="61"/>
      <c r="DD134" s="61"/>
      <c r="DE134" s="61">
        <v>140</v>
      </c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61"/>
      <c r="DU134" s="61"/>
      <c r="DV134" s="61"/>
      <c r="DW134" s="61"/>
    </row>
    <row r="135" spans="1:127" ht="30.75" customHeight="1">
      <c r="A135" s="268" t="s">
        <v>74</v>
      </c>
      <c r="B135" s="269"/>
      <c r="C135" s="269"/>
      <c r="D135" s="269"/>
      <c r="E135" s="269"/>
      <c r="F135" s="71" t="s">
        <v>198</v>
      </c>
      <c r="G135" s="78">
        <f>VLOOKUP(завтрак1,таб,48,FALSE)</f>
        <v>0</v>
      </c>
      <c r="H135" s="34">
        <f>VLOOKUP(завтрак2,таб,48,FALSE)</f>
        <v>0</v>
      </c>
      <c r="I135" s="35">
        <f>VLOOKUP(завтрак3,таб,48,FALSE)</f>
        <v>0</v>
      </c>
      <c r="J135" s="34">
        <f>VLOOKUP(завтрак4,таб,48,FALSE)</f>
        <v>0</v>
      </c>
      <c r="K135" s="35">
        <f>VLOOKUP(завтрак5,таб,48,FALSE)</f>
        <v>0</v>
      </c>
      <c r="L135" s="35">
        <f>VLOOKUP(завтрак6,таб,48,FALSE)</f>
        <v>0</v>
      </c>
      <c r="M135" s="28">
        <f>VLOOKUP(завтрак7,таб,48,FALSE)</f>
        <v>0</v>
      </c>
      <c r="N135" s="88">
        <f>VLOOKUP(завтрак8,таб,48,FALSE)</f>
        <v>0</v>
      </c>
      <c r="O135" s="36">
        <f>VLOOKUP(обед1,таб,48,FALSE)</f>
        <v>0</v>
      </c>
      <c r="P135" s="35">
        <f>VLOOKUP(обед2,таб,48,FALSE)</f>
        <v>0</v>
      </c>
      <c r="Q135" s="34">
        <f>VLOOKUP(обед3,таб,48,FALSE)</f>
        <v>100</v>
      </c>
      <c r="R135" s="35">
        <f>VLOOKUP(обед4,таб,48,FALSE)</f>
        <v>0</v>
      </c>
      <c r="S135" s="34">
        <f>VLOOKUP(обед5,таб,48,FALSE)</f>
        <v>0</v>
      </c>
      <c r="T135" s="35">
        <f>VLOOKUP(обед6,таб,48,FALSE)</f>
        <v>0</v>
      </c>
      <c r="U135" s="34">
        <f>VLOOKUP(обед7,таб,48,FALSE)</f>
        <v>0</v>
      </c>
      <c r="V135" s="35">
        <f>VLOOKUP(обед8,таб,48,FALSE)</f>
        <v>0</v>
      </c>
      <c r="W135" s="35">
        <f>VLOOKUP(полдник1,таб,48,FALSE)</f>
        <v>0</v>
      </c>
      <c r="X135" s="35">
        <f>VLOOKUP(полдник2,таб,48,FALSE)</f>
        <v>0</v>
      </c>
      <c r="Y135" s="94">
        <f>VLOOKUP(полдник3,таб,48,FALSE)</f>
        <v>0</v>
      </c>
      <c r="Z135" s="36">
        <f>VLOOKUP(ужин1,таб,48,FALSE)</f>
        <v>0</v>
      </c>
      <c r="AA135" s="34">
        <f>VLOOKUP(ужин2,таб,48,FALSE)</f>
        <v>0</v>
      </c>
      <c r="AB135" s="35">
        <f>VLOOKUP(ужин3,таб,48,FALSE)</f>
        <v>0</v>
      </c>
      <c r="AC135" s="34">
        <f>VLOOKUP(ужин4,таб,48,FALSE)</f>
        <v>0</v>
      </c>
      <c r="AD135" s="35">
        <f>VLOOKUP(ужин5,таб,48,FALSE)</f>
        <v>0</v>
      </c>
      <c r="AE135" s="34">
        <f>VLOOKUP(ужин6,таб,48,FALSE)</f>
        <v>0</v>
      </c>
      <c r="AF135" s="35">
        <f>VLOOKUP(ужин7,таб,48,FALSE)</f>
        <v>0</v>
      </c>
      <c r="AG135" s="94">
        <f>VLOOKUP(ужин8,таб,48,FALSE)</f>
        <v>0</v>
      </c>
      <c r="AH135" s="152"/>
      <c r="AI135" s="161">
        <f>AK135/сред</f>
        <v>0.1</v>
      </c>
      <c r="AJ135" s="162"/>
      <c r="AK135" s="154">
        <f>SUM(G136:AG136)</f>
        <v>1.6</v>
      </c>
      <c r="AL135" s="154"/>
      <c r="AM135" s="213">
        <f>IF(AK135=0,0,CL117)</f>
        <v>21.92</v>
      </c>
      <c r="AN135" s="155">
        <f>AK135*AM135</f>
        <v>35.072</v>
      </c>
      <c r="AP135">
        <v>131</v>
      </c>
      <c r="AQ135" s="61" t="s">
        <v>234</v>
      </c>
      <c r="AR135" s="61"/>
      <c r="AS135" s="61"/>
      <c r="AT135" s="61"/>
      <c r="AU135" s="61"/>
      <c r="AV135" s="61"/>
      <c r="AW135" s="61"/>
      <c r="AX135" s="61"/>
      <c r="AY135" s="61"/>
      <c r="AZ135" s="61">
        <v>5</v>
      </c>
      <c r="BA135" s="61"/>
      <c r="BB135" s="61"/>
      <c r="BC135" s="61">
        <v>2</v>
      </c>
      <c r="BD135" s="61">
        <v>104</v>
      </c>
      <c r="BE135" s="61"/>
      <c r="BF135" s="61"/>
      <c r="BG135" s="61">
        <v>20</v>
      </c>
      <c r="BH135" s="61"/>
      <c r="BI135" s="61"/>
      <c r="BJ135" s="61">
        <v>0.1</v>
      </c>
      <c r="BK135" s="61"/>
      <c r="BL135" s="61">
        <v>42</v>
      </c>
      <c r="BM135" s="61"/>
      <c r="BN135" s="61"/>
      <c r="BO135" s="61"/>
      <c r="BP135" s="61"/>
      <c r="BQ135" s="61"/>
      <c r="BR135" s="61"/>
      <c r="BS135" s="61"/>
      <c r="BT135" s="61"/>
      <c r="BU135" s="61"/>
      <c r="BV135" s="61"/>
      <c r="BW135" s="61">
        <v>10</v>
      </c>
      <c r="BX135" s="61"/>
      <c r="BY135" s="61">
        <v>51</v>
      </c>
      <c r="BZ135" s="61"/>
      <c r="CA135" s="61"/>
      <c r="CB135" s="61"/>
      <c r="CC135" s="61"/>
      <c r="CD135" s="61"/>
      <c r="CE135" s="61"/>
      <c r="CF135" s="61"/>
      <c r="CG135" s="61"/>
      <c r="CH135" s="61"/>
      <c r="CI135" s="61"/>
      <c r="CJ135" s="61"/>
      <c r="CK135" s="61"/>
      <c r="CL135" s="61"/>
      <c r="CM135" s="61"/>
      <c r="CN135" s="61"/>
      <c r="CO135" s="61"/>
      <c r="CP135" s="61"/>
      <c r="CQ135" s="61"/>
      <c r="CR135" s="61"/>
      <c r="CS135" s="61"/>
      <c r="CT135" s="61"/>
      <c r="CU135" s="61"/>
      <c r="CV135" s="61"/>
      <c r="CW135" s="61"/>
      <c r="CX135" s="61"/>
      <c r="CY135" s="61"/>
      <c r="CZ135" s="61"/>
      <c r="DA135" s="61"/>
      <c r="DB135" s="61"/>
      <c r="DC135" s="61"/>
      <c r="DD135" s="61"/>
      <c r="DE135" s="61">
        <v>150</v>
      </c>
      <c r="DF135" s="61"/>
      <c r="DG135" s="61"/>
      <c r="DH135" s="61"/>
      <c r="DI135" s="61"/>
      <c r="DJ135" s="61"/>
      <c r="DK135" s="61"/>
      <c r="DL135" s="61"/>
      <c r="DM135" s="61"/>
      <c r="DN135" s="61"/>
      <c r="DO135" s="61"/>
      <c r="DP135" s="61"/>
      <c r="DQ135" s="61"/>
      <c r="DR135" s="61"/>
      <c r="DS135" s="61"/>
      <c r="DT135" s="61"/>
      <c r="DU135" s="61"/>
      <c r="DV135" s="61"/>
      <c r="DW135" s="61"/>
    </row>
    <row r="136" spans="1:127" ht="30.75" customHeight="1">
      <c r="A136" s="270"/>
      <c r="B136" s="271"/>
      <c r="C136" s="271"/>
      <c r="D136" s="271"/>
      <c r="E136" s="271"/>
      <c r="F136" s="66" t="s">
        <v>199</v>
      </c>
      <c r="G136" s="79">
        <f aca="true" t="shared" si="164" ref="G136:N136">IF(G135=0,"",завтракл*G135/1000)</f>
      </c>
      <c r="H136" s="47">
        <f t="shared" si="164"/>
      </c>
      <c r="I136" s="46">
        <f t="shared" si="164"/>
      </c>
      <c r="J136" s="47">
        <f t="shared" si="164"/>
      </c>
      <c r="K136" s="46">
        <f t="shared" si="164"/>
      </c>
      <c r="L136" s="46">
        <f t="shared" si="164"/>
      </c>
      <c r="M136" s="46">
        <f t="shared" si="164"/>
      </c>
      <c r="N136" s="89">
        <f t="shared" si="164"/>
      </c>
      <c r="O136" s="48">
        <f aca="true" t="shared" si="165" ref="O136:V136">IF(O135=0,"",обідл*O135/1000)</f>
      </c>
      <c r="P136" s="46">
        <f t="shared" si="165"/>
      </c>
      <c r="Q136" s="47">
        <f t="shared" si="165"/>
        <v>1.6</v>
      </c>
      <c r="R136" s="46">
        <f t="shared" si="165"/>
      </c>
      <c r="S136" s="47">
        <f t="shared" si="165"/>
      </c>
      <c r="T136" s="46">
        <f t="shared" si="165"/>
      </c>
      <c r="U136" s="47">
        <f t="shared" si="165"/>
      </c>
      <c r="V136" s="46">
        <f t="shared" si="165"/>
      </c>
      <c r="W136" s="46">
        <f>IF(W135=0,"",полдникл*W135/1000)</f>
      </c>
      <c r="X136" s="46">
        <f>IF(X135=0,"",полдникл*X135/1000)</f>
      </c>
      <c r="Y136" s="89">
        <f>IF(Y135=0,"",полдникл*Y135/1000)</f>
      </c>
      <c r="Z136" s="48">
        <f aca="true" t="shared" si="166" ref="Z136:AG136">IF(Z135=0,"",ужинл*Z135/1000)</f>
      </c>
      <c r="AA136" s="47">
        <f t="shared" si="166"/>
      </c>
      <c r="AB136" s="46">
        <f t="shared" si="166"/>
      </c>
      <c r="AC136" s="47">
        <f t="shared" si="166"/>
      </c>
      <c r="AD136" s="46">
        <f t="shared" si="166"/>
      </c>
      <c r="AE136" s="47">
        <f t="shared" si="166"/>
      </c>
      <c r="AF136" s="46">
        <f t="shared" si="166"/>
      </c>
      <c r="AG136" s="89">
        <f t="shared" si="166"/>
      </c>
      <c r="AH136" s="153"/>
      <c r="AI136" s="161"/>
      <c r="AJ136" s="162"/>
      <c r="AK136" s="154"/>
      <c r="AL136" s="154"/>
      <c r="AM136" s="214"/>
      <c r="AN136" s="156"/>
      <c r="AP136">
        <v>132</v>
      </c>
      <c r="AQ136" s="62" t="s">
        <v>235</v>
      </c>
      <c r="AR136" s="61"/>
      <c r="AS136" s="61"/>
      <c r="AT136" s="61"/>
      <c r="AU136" s="61"/>
      <c r="AV136" s="61"/>
      <c r="AW136" s="61"/>
      <c r="AX136" s="61"/>
      <c r="AY136" s="61"/>
      <c r="AZ136" s="61">
        <v>2</v>
      </c>
      <c r="BA136" s="61"/>
      <c r="BB136" s="61"/>
      <c r="BC136" s="61">
        <v>3</v>
      </c>
      <c r="BD136" s="61">
        <v>14</v>
      </c>
      <c r="BE136" s="61"/>
      <c r="BF136" s="61"/>
      <c r="BG136" s="61"/>
      <c r="BH136" s="61"/>
      <c r="BI136" s="61"/>
      <c r="BJ136" s="61"/>
      <c r="BK136" s="61"/>
      <c r="BL136" s="61">
        <v>38</v>
      </c>
      <c r="BM136" s="61"/>
      <c r="BN136" s="61"/>
      <c r="BO136" s="61"/>
      <c r="BP136" s="61"/>
      <c r="BQ136" s="61"/>
      <c r="BR136" s="61"/>
      <c r="BS136" s="61"/>
      <c r="BT136" s="61"/>
      <c r="BU136" s="61"/>
      <c r="BV136" s="61"/>
      <c r="BW136" s="61">
        <v>16</v>
      </c>
      <c r="BX136" s="61"/>
      <c r="BY136" s="61">
        <v>15</v>
      </c>
      <c r="BZ136" s="61"/>
      <c r="CA136" s="61"/>
      <c r="CB136" s="61"/>
      <c r="CC136" s="61"/>
      <c r="CD136" s="61"/>
      <c r="CE136" s="61"/>
      <c r="CF136" s="61"/>
      <c r="CG136" s="61"/>
      <c r="CH136" s="61"/>
      <c r="CI136" s="61"/>
      <c r="CJ136" s="61"/>
      <c r="CK136" s="61"/>
      <c r="CL136" s="61"/>
      <c r="CM136" s="61"/>
      <c r="CN136" s="61"/>
      <c r="CO136" s="61"/>
      <c r="CP136" s="61"/>
      <c r="CQ136" s="61"/>
      <c r="CR136" s="61"/>
      <c r="CS136" s="61"/>
      <c r="CT136" s="61"/>
      <c r="CU136" s="61"/>
      <c r="CV136" s="61"/>
      <c r="CW136" s="61"/>
      <c r="CX136" s="61"/>
      <c r="CY136" s="61"/>
      <c r="CZ136" s="61">
        <v>1</v>
      </c>
      <c r="DA136" s="61"/>
      <c r="DB136" s="61"/>
      <c r="DC136" s="61"/>
      <c r="DD136" s="61"/>
      <c r="DE136" s="61">
        <v>75</v>
      </c>
      <c r="DF136" s="61"/>
      <c r="DG136" s="61"/>
      <c r="DH136" s="61"/>
      <c r="DI136" s="61"/>
      <c r="DJ136" s="61"/>
      <c r="DK136" s="61"/>
      <c r="DL136" s="61"/>
      <c r="DM136" s="61"/>
      <c r="DN136" s="61"/>
      <c r="DO136" s="61"/>
      <c r="DP136" s="61"/>
      <c r="DQ136" s="61"/>
      <c r="DR136" s="61"/>
      <c r="DS136" s="61"/>
      <c r="DT136" s="61"/>
      <c r="DU136" s="61"/>
      <c r="DV136" s="61"/>
      <c r="DW136" s="61"/>
    </row>
    <row r="137" spans="1:127" ht="30.75" customHeight="1">
      <c r="A137" s="191" t="s">
        <v>49</v>
      </c>
      <c r="B137" s="191"/>
      <c r="C137" s="191"/>
      <c r="D137" s="191"/>
      <c r="E137" s="192"/>
      <c r="F137" s="71" t="s">
        <v>198</v>
      </c>
      <c r="G137" s="80">
        <f>VLOOKUP(завтрак1,таб,51,FALSE)</f>
        <v>0</v>
      </c>
      <c r="H137" s="37">
        <f>VLOOKUP(завтрак2,таб,51,FALSE)</f>
        <v>0</v>
      </c>
      <c r="I137" s="38">
        <f>VLOOKUP(завтрак3,таб,51,FALSE)</f>
        <v>0</v>
      </c>
      <c r="J137" s="37">
        <f>VLOOKUP(завтрак4,таб,51,FALSE)</f>
        <v>0</v>
      </c>
      <c r="K137" s="38">
        <f>VLOOKUP(завтрак5,таб,51,FALSE)</f>
        <v>0</v>
      </c>
      <c r="L137" s="38">
        <f>VLOOKUP(завтрак6,таб,51,FALSE)</f>
        <v>0</v>
      </c>
      <c r="M137" s="28">
        <f>VLOOKUP(завтрак7,таб,49,FALSE)</f>
        <v>0</v>
      </c>
      <c r="N137" s="88">
        <f>VLOOKUP(завтрак8,таб,49,FALSE)</f>
        <v>0</v>
      </c>
      <c r="O137" s="39">
        <f>VLOOKUP(обед1,таб,51,FALSE)</f>
        <v>0</v>
      </c>
      <c r="P137" s="38">
        <f>VLOOKUP(обед2,таб,51,FALSE)</f>
        <v>0</v>
      </c>
      <c r="Q137" s="37">
        <f>VLOOKUP(обед3,таб,51,FALSE)</f>
        <v>0</v>
      </c>
      <c r="R137" s="38">
        <f>VLOOKUP(обед4,таб,51,FALSE)</f>
        <v>0</v>
      </c>
      <c r="S137" s="37">
        <f>VLOOKUP(обед5,таб,51,FALSE)</f>
        <v>0</v>
      </c>
      <c r="T137" s="38">
        <f>VLOOKUP(обед6,таб,51,FALSE)</f>
        <v>0</v>
      </c>
      <c r="U137" s="37">
        <f>VLOOKUP(обед7,таб,51,FALSE)</f>
        <v>0</v>
      </c>
      <c r="V137" s="38">
        <f>VLOOKUP(обед8,таб,51,FALSE)</f>
        <v>0</v>
      </c>
      <c r="W137" s="38">
        <f>VLOOKUP(полдник1,таб,51,FALSE)</f>
        <v>0</v>
      </c>
      <c r="X137" s="38">
        <f>VLOOKUP(полдник2,таб,51,FALSE)</f>
        <v>0</v>
      </c>
      <c r="Y137" s="95">
        <f>VLOOKUP(полдник3,таб,51,FALSE)</f>
        <v>0</v>
      </c>
      <c r="Z137" s="39">
        <f>VLOOKUP(ужин1,таб,51,FALSE)</f>
        <v>0</v>
      </c>
      <c r="AA137" s="37">
        <f>VLOOKUP(ужин2,таб,51,FALSE)</f>
        <v>0</v>
      </c>
      <c r="AB137" s="38">
        <f>VLOOKUP(ужин3,таб,51,FALSE)</f>
        <v>0</v>
      </c>
      <c r="AC137" s="37">
        <f>VLOOKUP(ужин4,таб,51,FALSE)</f>
        <v>0</v>
      </c>
      <c r="AD137" s="38">
        <f>VLOOKUP(ужин5,таб,51,FALSE)</f>
        <v>0</v>
      </c>
      <c r="AE137" s="37">
        <f>VLOOKUP(ужин6,таб,51,FALSE)</f>
        <v>0</v>
      </c>
      <c r="AF137" s="38">
        <f>VLOOKUP(ужин7,таб,51,FALSE)</f>
        <v>0</v>
      </c>
      <c r="AG137" s="95">
        <f>VLOOKUP(ужин8,таб,51,FALSE)</f>
        <v>0</v>
      </c>
      <c r="AH137" s="152">
        <v>615094</v>
      </c>
      <c r="AI137" s="161">
        <f>AK137/сред</f>
        <v>0</v>
      </c>
      <c r="AJ137" s="162"/>
      <c r="AK137" s="154">
        <f>SUM(G138:AG138)</f>
        <v>0</v>
      </c>
      <c r="AL137" s="154"/>
      <c r="AM137" s="213">
        <f>IF(AK137=0,0,CO117)</f>
        <v>0</v>
      </c>
      <c r="AN137" s="155">
        <f>AK137*AM137</f>
        <v>0</v>
      </c>
      <c r="AP137">
        <v>133</v>
      </c>
      <c r="AQ137" s="61" t="s">
        <v>236</v>
      </c>
      <c r="AR137" s="61"/>
      <c r="AS137" s="61"/>
      <c r="AT137" s="61"/>
      <c r="AU137" s="61"/>
      <c r="AV137" s="61"/>
      <c r="AW137" s="61"/>
      <c r="AX137" s="61"/>
      <c r="AY137" s="61"/>
      <c r="AZ137" s="61">
        <v>2</v>
      </c>
      <c r="BA137" s="61"/>
      <c r="BB137" s="61"/>
      <c r="BC137" s="61">
        <v>1</v>
      </c>
      <c r="BD137" s="61"/>
      <c r="BE137" s="61"/>
      <c r="BF137" s="61"/>
      <c r="BG137" s="61"/>
      <c r="BH137" s="61"/>
      <c r="BI137" s="61"/>
      <c r="BJ137" s="61"/>
      <c r="BK137" s="61"/>
      <c r="BL137" s="61">
        <v>41</v>
      </c>
      <c r="BM137" s="61"/>
      <c r="BN137" s="61"/>
      <c r="BO137" s="61"/>
      <c r="BP137" s="61"/>
      <c r="BQ137" s="61"/>
      <c r="BR137" s="61"/>
      <c r="BS137" s="61"/>
      <c r="BT137" s="61"/>
      <c r="BU137" s="61"/>
      <c r="BV137" s="61"/>
      <c r="BW137" s="61">
        <v>2.5</v>
      </c>
      <c r="BX137" s="61"/>
      <c r="BY137" s="61">
        <v>25</v>
      </c>
      <c r="BZ137" s="61"/>
      <c r="CA137" s="61"/>
      <c r="CB137" s="61"/>
      <c r="CC137" s="61"/>
      <c r="CD137" s="61"/>
      <c r="CE137" s="61"/>
      <c r="CF137" s="61"/>
      <c r="CG137" s="61"/>
      <c r="CH137" s="61"/>
      <c r="CI137" s="61"/>
      <c r="CJ137" s="61"/>
      <c r="CK137" s="61"/>
      <c r="CL137" s="61"/>
      <c r="CM137" s="61"/>
      <c r="CN137" s="61"/>
      <c r="CO137" s="61"/>
      <c r="CP137" s="61"/>
      <c r="CQ137" s="61"/>
      <c r="CR137" s="61"/>
      <c r="CS137" s="61"/>
      <c r="CT137" s="61"/>
      <c r="CU137" s="61"/>
      <c r="CV137" s="61"/>
      <c r="CW137" s="61"/>
      <c r="CX137" s="61"/>
      <c r="CY137" s="61"/>
      <c r="CZ137" s="61">
        <v>1</v>
      </c>
      <c r="DA137" s="61"/>
      <c r="DB137" s="61"/>
      <c r="DC137" s="61"/>
      <c r="DD137" s="61"/>
      <c r="DE137" s="61">
        <v>75</v>
      </c>
      <c r="DF137" s="61"/>
      <c r="DG137" s="61"/>
      <c r="DH137" s="61"/>
      <c r="DI137" s="61"/>
      <c r="DJ137" s="61"/>
      <c r="DK137" s="61"/>
      <c r="DL137" s="61"/>
      <c r="DM137" s="61"/>
      <c r="DN137" s="61"/>
      <c r="DO137" s="61"/>
      <c r="DP137" s="61"/>
      <c r="DQ137" s="61"/>
      <c r="DR137" s="61"/>
      <c r="DS137" s="61"/>
      <c r="DT137" s="61"/>
      <c r="DU137" s="61"/>
      <c r="DV137" s="61"/>
      <c r="DW137" s="61"/>
    </row>
    <row r="138" spans="1:127" ht="30.75" customHeight="1">
      <c r="A138" s="195"/>
      <c r="B138" s="195"/>
      <c r="C138" s="195"/>
      <c r="D138" s="195"/>
      <c r="E138" s="196"/>
      <c r="F138" s="66" t="s">
        <v>199</v>
      </c>
      <c r="G138" s="81">
        <f aca="true" t="shared" si="167" ref="G138:N138">IF(G137=0,"",завтракл*G137/1000)</f>
      </c>
      <c r="H138" s="49">
        <f t="shared" si="167"/>
      </c>
      <c r="I138" s="45">
        <f t="shared" si="167"/>
      </c>
      <c r="J138" s="49">
        <f t="shared" si="167"/>
      </c>
      <c r="K138" s="45">
        <f t="shared" si="167"/>
      </c>
      <c r="L138" s="45">
        <f t="shared" si="167"/>
      </c>
      <c r="M138" s="46">
        <f t="shared" si="167"/>
      </c>
      <c r="N138" s="89">
        <f t="shared" si="167"/>
      </c>
      <c r="O138" s="50">
        <f aca="true" t="shared" si="168" ref="O138:V138">IF(O137=0,"",обідл*O137/1000)</f>
      </c>
      <c r="P138" s="45">
        <f t="shared" si="168"/>
      </c>
      <c r="Q138" s="49">
        <f t="shared" si="168"/>
      </c>
      <c r="R138" s="45">
        <f t="shared" si="168"/>
      </c>
      <c r="S138" s="49">
        <f t="shared" si="168"/>
      </c>
      <c r="T138" s="45">
        <f t="shared" si="168"/>
      </c>
      <c r="U138" s="49">
        <f t="shared" si="168"/>
      </c>
      <c r="V138" s="45">
        <f t="shared" si="168"/>
      </c>
      <c r="W138" s="45">
        <f>IF(W137=0,"",полдникл*W137/1000)</f>
      </c>
      <c r="X138" s="45">
        <f>IF(X137=0,"",полдникл*X137/1000)</f>
      </c>
      <c r="Y138" s="92">
        <f>IF(Y137=0,"",полдникл*Y137/1000)</f>
      </c>
      <c r="Z138" s="50">
        <f aca="true" t="shared" si="169" ref="Z138:AG138">IF(Z137=0,"",ужинл*Z137/1000)</f>
      </c>
      <c r="AA138" s="49">
        <f t="shared" si="169"/>
      </c>
      <c r="AB138" s="45">
        <f t="shared" si="169"/>
      </c>
      <c r="AC138" s="49">
        <f t="shared" si="169"/>
      </c>
      <c r="AD138" s="45">
        <f t="shared" si="169"/>
      </c>
      <c r="AE138" s="49">
        <f t="shared" si="169"/>
      </c>
      <c r="AF138" s="45">
        <f t="shared" si="169"/>
      </c>
      <c r="AG138" s="92">
        <f t="shared" si="169"/>
      </c>
      <c r="AH138" s="153"/>
      <c r="AI138" s="161"/>
      <c r="AJ138" s="162"/>
      <c r="AK138" s="154"/>
      <c r="AL138" s="154"/>
      <c r="AM138" s="214"/>
      <c r="AN138" s="156"/>
      <c r="AP138">
        <v>134</v>
      </c>
      <c r="AQ138" s="61" t="s">
        <v>237</v>
      </c>
      <c r="AR138" s="61"/>
      <c r="AS138" s="61"/>
      <c r="AT138" s="61"/>
      <c r="AU138" s="61"/>
      <c r="AV138" s="61"/>
      <c r="AW138" s="61"/>
      <c r="AX138" s="61">
        <v>34</v>
      </c>
      <c r="AY138" s="61"/>
      <c r="AZ138" s="61"/>
      <c r="BA138" s="61"/>
      <c r="BB138" s="61"/>
      <c r="BC138" s="61">
        <v>3</v>
      </c>
      <c r="BD138" s="61">
        <v>10</v>
      </c>
      <c r="BE138" s="61"/>
      <c r="BF138" s="61"/>
      <c r="BG138" s="61"/>
      <c r="BH138" s="61"/>
      <c r="BI138" s="61"/>
      <c r="BJ138" s="61"/>
      <c r="BK138" s="61"/>
      <c r="BL138" s="61">
        <v>4</v>
      </c>
      <c r="BM138" s="61"/>
      <c r="BN138" s="61"/>
      <c r="BO138" s="61"/>
      <c r="BP138" s="61"/>
      <c r="BQ138" s="61"/>
      <c r="BR138" s="61">
        <v>7</v>
      </c>
      <c r="BS138" s="61"/>
      <c r="BT138" s="61"/>
      <c r="BU138" s="61"/>
      <c r="BV138" s="61"/>
      <c r="BW138" s="61"/>
      <c r="BX138" s="61"/>
      <c r="BY138" s="61"/>
      <c r="BZ138" s="61"/>
      <c r="CA138" s="61"/>
      <c r="CB138" s="61"/>
      <c r="CC138" s="61"/>
      <c r="CD138" s="61"/>
      <c r="CE138" s="61"/>
      <c r="CF138" s="61"/>
      <c r="CG138" s="61"/>
      <c r="CH138" s="61"/>
      <c r="CI138" s="61">
        <v>8</v>
      </c>
      <c r="CJ138" s="61"/>
      <c r="CK138" s="61"/>
      <c r="CL138" s="61"/>
      <c r="CM138" s="61">
        <v>2</v>
      </c>
      <c r="CN138" s="61"/>
      <c r="CO138" s="61"/>
      <c r="CP138" s="61"/>
      <c r="CQ138" s="61"/>
      <c r="CR138" s="61"/>
      <c r="CS138" s="61"/>
      <c r="CT138" s="61"/>
      <c r="CU138" s="61"/>
      <c r="CV138" s="61"/>
      <c r="CW138" s="61"/>
      <c r="CX138" s="61"/>
      <c r="CY138" s="61"/>
      <c r="CZ138" s="61"/>
      <c r="DA138" s="61"/>
      <c r="DB138" s="61"/>
      <c r="DC138" s="61"/>
      <c r="DD138" s="61"/>
      <c r="DE138" s="61" t="s">
        <v>302</v>
      </c>
      <c r="DF138" s="61"/>
      <c r="DG138" s="61"/>
      <c r="DH138" s="61"/>
      <c r="DI138" s="61"/>
      <c r="DJ138" s="61"/>
      <c r="DK138" s="61"/>
      <c r="DL138" s="61"/>
      <c r="DM138" s="61"/>
      <c r="DN138" s="61"/>
      <c r="DO138" s="61"/>
      <c r="DP138" s="61"/>
      <c r="DQ138" s="61"/>
      <c r="DR138" s="61"/>
      <c r="DS138" s="61"/>
      <c r="DT138" s="61"/>
      <c r="DU138" s="61"/>
      <c r="DV138" s="61"/>
      <c r="DW138" s="61"/>
    </row>
    <row r="139" spans="1:127" ht="30.75" customHeight="1">
      <c r="A139" s="197" t="s">
        <v>316</v>
      </c>
      <c r="B139" s="197"/>
      <c r="C139" s="197"/>
      <c r="D139" s="197"/>
      <c r="E139" s="198"/>
      <c r="F139" s="71" t="s">
        <v>198</v>
      </c>
      <c r="G139" s="78"/>
      <c r="H139" s="34">
        <f>VLOOKUP(завтрак2,таб,50,FALSE)</f>
        <v>0</v>
      </c>
      <c r="I139" s="35">
        <f>VLOOKUP(завтрак3,таб,50,FALSE)</f>
        <v>0</v>
      </c>
      <c r="J139" s="34">
        <f>VLOOKUP(завтрак4,таб,50,FALSE)</f>
        <v>0</v>
      </c>
      <c r="K139" s="35">
        <f>VLOOKUP(завтрак5,таб,50,FALSE)</f>
        <v>0</v>
      </c>
      <c r="L139" s="35">
        <f>VLOOKUP(завтрак6,таб,50,FALSE)</f>
        <v>0</v>
      </c>
      <c r="M139" s="28">
        <f>VLOOKUP(завтрак7,таб,50,FALSE)</f>
        <v>0</v>
      </c>
      <c r="N139" s="88">
        <f>VLOOKUP(завтрак8,таб,50,FALSE)</f>
        <v>0</v>
      </c>
      <c r="O139" s="36">
        <f>VLOOKUP(обед1,таб,50,FALSE)</f>
        <v>0</v>
      </c>
      <c r="P139" s="35">
        <f>VLOOKUP(обед2,таб,50,FALSE)</f>
        <v>0</v>
      </c>
      <c r="Q139" s="34">
        <f>VLOOKUP(обед3,таб,50,FALSE)</f>
        <v>0</v>
      </c>
      <c r="R139" s="35">
        <f>VLOOKUP(обед4,таб,50,FALSE)</f>
        <v>0</v>
      </c>
      <c r="S139" s="34">
        <f>VLOOKUP(обед5,таб,50,FALSE)</f>
        <v>0</v>
      </c>
      <c r="T139" s="35">
        <f>VLOOKUP(обед6,таб,50,FALSE)</f>
        <v>0</v>
      </c>
      <c r="U139" s="34">
        <f>VLOOKUP(обед7,таб,50,FALSE)</f>
        <v>0</v>
      </c>
      <c r="V139" s="35">
        <f>VLOOKUP(обед8,таб,50,FALSE)</f>
        <v>0</v>
      </c>
      <c r="W139" s="35">
        <f>VLOOKUP(полдник1,таб,50,FALSE)</f>
        <v>0</v>
      </c>
      <c r="X139" s="35">
        <f>VLOOKUP(полдник2,таб,50,FALSE)</f>
        <v>0</v>
      </c>
      <c r="Y139" s="94">
        <f>VLOOKUP(полдник3,таб,50,FALSE)</f>
        <v>0</v>
      </c>
      <c r="Z139" s="36">
        <f>VLOOKUP(ужин1,таб,50,FALSE)</f>
        <v>0</v>
      </c>
      <c r="AA139" s="34">
        <f>VLOOKUP(ужин2,таб,50,FALSE)</f>
        <v>0</v>
      </c>
      <c r="AB139" s="35">
        <f>VLOOKUP(ужин3,таб,50,FALSE)</f>
        <v>0</v>
      </c>
      <c r="AC139" s="34">
        <f>VLOOKUP(ужин4,таб,50,FALSE)</f>
        <v>0</v>
      </c>
      <c r="AD139" s="35">
        <f>VLOOKUP(ужин5,таб,50,FALSE)</f>
        <v>0</v>
      </c>
      <c r="AE139" s="34">
        <f>VLOOKUP(ужин6,таб,50,FALSE)</f>
        <v>0</v>
      </c>
      <c r="AF139" s="35">
        <f>VLOOKUP(ужин7,таб,50,FALSE)</f>
        <v>0</v>
      </c>
      <c r="AG139" s="94">
        <f>VLOOKUP(ужин8,таб,50,FALSE)</f>
        <v>0</v>
      </c>
      <c r="AH139" s="152"/>
      <c r="AI139" s="161">
        <f>AK139/сред</f>
        <v>0</v>
      </c>
      <c r="AJ139" s="162"/>
      <c r="AK139" s="154">
        <f>SUM(G140:AG140)</f>
        <v>0</v>
      </c>
      <c r="AL139" s="154"/>
      <c r="AM139" s="213">
        <f>IF(AK139=0,0,CN117)</f>
        <v>0</v>
      </c>
      <c r="AN139" s="155">
        <f>AK139*AM139</f>
        <v>0</v>
      </c>
      <c r="AP139">
        <v>135</v>
      </c>
      <c r="AQ139" s="61" t="s">
        <v>238</v>
      </c>
      <c r="AR139" s="61"/>
      <c r="AS139" s="61"/>
      <c r="AT139" s="61"/>
      <c r="AU139" s="61"/>
      <c r="AV139" s="61"/>
      <c r="AW139" s="61"/>
      <c r="AX139" s="61">
        <v>34</v>
      </c>
      <c r="AY139" s="61"/>
      <c r="AZ139" s="61"/>
      <c r="BA139" s="61"/>
      <c r="BB139" s="61"/>
      <c r="BC139" s="61">
        <v>3</v>
      </c>
      <c r="BD139" s="61">
        <v>10</v>
      </c>
      <c r="BE139" s="61"/>
      <c r="BF139" s="61"/>
      <c r="BG139" s="61">
        <v>20</v>
      </c>
      <c r="BH139" s="61"/>
      <c r="BI139" s="61"/>
      <c r="BJ139" s="61"/>
      <c r="BK139" s="61"/>
      <c r="BL139" s="61">
        <v>4</v>
      </c>
      <c r="BM139" s="61"/>
      <c r="BN139" s="61"/>
      <c r="BO139" s="61"/>
      <c r="BP139" s="61"/>
      <c r="BQ139" s="61"/>
      <c r="BR139" s="61">
        <v>7</v>
      </c>
      <c r="BS139" s="61"/>
      <c r="BT139" s="61"/>
      <c r="BU139" s="61"/>
      <c r="BV139" s="61"/>
      <c r="BW139" s="61"/>
      <c r="BX139" s="61"/>
      <c r="BY139" s="61"/>
      <c r="BZ139" s="61"/>
      <c r="CA139" s="61"/>
      <c r="CB139" s="61"/>
      <c r="CC139" s="61"/>
      <c r="CD139" s="61"/>
      <c r="CE139" s="61"/>
      <c r="CF139" s="61"/>
      <c r="CG139" s="61"/>
      <c r="CH139" s="61"/>
      <c r="CI139" s="61">
        <v>8</v>
      </c>
      <c r="CJ139" s="61"/>
      <c r="CK139" s="61"/>
      <c r="CL139" s="61"/>
      <c r="CM139" s="61">
        <v>2</v>
      </c>
      <c r="CN139" s="61"/>
      <c r="CO139" s="61"/>
      <c r="CP139" s="61"/>
      <c r="CQ139" s="61"/>
      <c r="CR139" s="61"/>
      <c r="CS139" s="61"/>
      <c r="CT139" s="61"/>
      <c r="CU139" s="61"/>
      <c r="CV139" s="61"/>
      <c r="CW139" s="61"/>
      <c r="CX139" s="61"/>
      <c r="CY139" s="61"/>
      <c r="CZ139" s="61"/>
      <c r="DA139" s="61"/>
      <c r="DB139" s="61"/>
      <c r="DC139" s="61"/>
      <c r="DD139" s="61"/>
      <c r="DE139" s="61" t="s">
        <v>302</v>
      </c>
      <c r="DF139" s="61"/>
      <c r="DG139" s="61"/>
      <c r="DH139" s="61"/>
      <c r="DI139" s="61"/>
      <c r="DJ139" s="61"/>
      <c r="DK139" s="61"/>
      <c r="DL139" s="61"/>
      <c r="DM139" s="61"/>
      <c r="DN139" s="61"/>
      <c r="DO139" s="61"/>
      <c r="DP139" s="61"/>
      <c r="DQ139" s="61"/>
      <c r="DR139" s="61"/>
      <c r="DS139" s="61"/>
      <c r="DT139" s="61"/>
      <c r="DU139" s="61"/>
      <c r="DV139" s="61"/>
      <c r="DW139" s="61"/>
    </row>
    <row r="140" spans="1:109" ht="30.75" customHeight="1">
      <c r="A140" s="197"/>
      <c r="B140" s="197"/>
      <c r="C140" s="197"/>
      <c r="D140" s="197"/>
      <c r="E140" s="198"/>
      <c r="F140" s="66" t="s">
        <v>199</v>
      </c>
      <c r="G140" s="79">
        <f aca="true" t="shared" si="170" ref="G140:N140">IF(G139=0,"",завтракл*G139/1000)</f>
      </c>
      <c r="H140" s="47">
        <f t="shared" si="170"/>
      </c>
      <c r="I140" s="46">
        <f t="shared" si="170"/>
      </c>
      <c r="J140" s="47">
        <f t="shared" si="170"/>
      </c>
      <c r="K140" s="46">
        <f t="shared" si="170"/>
      </c>
      <c r="L140" s="46">
        <f t="shared" si="170"/>
      </c>
      <c r="M140" s="46">
        <f t="shared" si="170"/>
      </c>
      <c r="N140" s="89">
        <f t="shared" si="170"/>
      </c>
      <c r="O140" s="48">
        <f aca="true" t="shared" si="171" ref="O140:V140">IF(O139=0,"",обідл*O139/1000)</f>
      </c>
      <c r="P140" s="46">
        <f t="shared" si="171"/>
      </c>
      <c r="Q140" s="47">
        <f t="shared" si="171"/>
      </c>
      <c r="R140" s="46">
        <f t="shared" si="171"/>
      </c>
      <c r="S140" s="47">
        <f t="shared" si="171"/>
      </c>
      <c r="T140" s="46">
        <f t="shared" si="171"/>
      </c>
      <c r="U140" s="47">
        <f t="shared" si="171"/>
      </c>
      <c r="V140" s="46">
        <f t="shared" si="171"/>
      </c>
      <c r="W140" s="46">
        <f>IF(W139=0,"",полдникл*W139/1000)</f>
      </c>
      <c r="X140" s="46">
        <f>IF(X139=0,"",полдникл*X139/1000)</f>
      </c>
      <c r="Y140" s="89">
        <f>IF(Y139=0,"",полдникл*Y139/1000)</f>
      </c>
      <c r="Z140" s="48">
        <f aca="true" t="shared" si="172" ref="Z140:AG140">IF(Z139=0,"",ужинл*Z139/1000)</f>
      </c>
      <c r="AA140" s="47">
        <f t="shared" si="172"/>
      </c>
      <c r="AB140" s="46">
        <f t="shared" si="172"/>
      </c>
      <c r="AC140" s="47">
        <f t="shared" si="172"/>
      </c>
      <c r="AD140" s="46">
        <f t="shared" si="172"/>
      </c>
      <c r="AE140" s="47">
        <f t="shared" si="172"/>
      </c>
      <c r="AF140" s="46">
        <f t="shared" si="172"/>
      </c>
      <c r="AG140" s="89">
        <f t="shared" si="172"/>
      </c>
      <c r="AH140" s="153"/>
      <c r="AI140" s="161"/>
      <c r="AJ140" s="162"/>
      <c r="AK140" s="154"/>
      <c r="AL140" s="154"/>
      <c r="AM140" s="214"/>
      <c r="AN140" s="156"/>
      <c r="AP140">
        <v>136</v>
      </c>
      <c r="AQ140" s="99" t="s">
        <v>252</v>
      </c>
      <c r="CK140">
        <v>100</v>
      </c>
      <c r="DE140" s="61">
        <v>100</v>
      </c>
    </row>
    <row r="141" spans="1:109" ht="30.75" customHeight="1">
      <c r="A141" s="191" t="s">
        <v>50</v>
      </c>
      <c r="B141" s="191"/>
      <c r="C141" s="191"/>
      <c r="D141" s="191"/>
      <c r="E141" s="192"/>
      <c r="F141" s="71" t="s">
        <v>198</v>
      </c>
      <c r="G141" s="80">
        <f>VLOOKUP(завтрак1,таб,49,FALSE)</f>
        <v>0</v>
      </c>
      <c r="H141" s="37">
        <f>VLOOKUP(завтрак2,таб,49,FALSE)</f>
        <v>0</v>
      </c>
      <c r="I141" s="38">
        <f>VLOOKUP(завтрак3,таб,49,FALSE)</f>
        <v>0</v>
      </c>
      <c r="J141" s="37">
        <f>VLOOKUP(завтрак4,таб,49,FALSE)</f>
        <v>0</v>
      </c>
      <c r="K141" s="38">
        <f>VLOOKUP(завтрак5,таб,49,FALSE)</f>
        <v>0</v>
      </c>
      <c r="L141" s="38">
        <f>VLOOKUP(завтрак6,таб,49,FALSE)</f>
        <v>0</v>
      </c>
      <c r="M141" s="28">
        <f>VLOOKUP(завтрак7,таб,51,FALSE)</f>
        <v>0</v>
      </c>
      <c r="N141" s="88">
        <f>VLOOKUP(завтрак8,таб,51,FALSE)</f>
        <v>0</v>
      </c>
      <c r="O141" s="39">
        <f>VLOOKUP(обед1,таб,49,FALSE)</f>
        <v>0</v>
      </c>
      <c r="P141" s="38">
        <f>VLOOKUP(обед2,таб,49,FALSE)</f>
        <v>0</v>
      </c>
      <c r="Q141" s="37">
        <f>VLOOKUP(обед3,таб,49,FALSE)</f>
        <v>0</v>
      </c>
      <c r="R141" s="38">
        <f>VLOOKUP(обед4,таб,49,FALSE)</f>
        <v>0</v>
      </c>
      <c r="S141" s="37">
        <f>VLOOKUP(обед5,таб,49,FALSE)</f>
        <v>0</v>
      </c>
      <c r="T141" s="38">
        <f>VLOOKUP(обед6,таб,49,FALSE)</f>
        <v>0</v>
      </c>
      <c r="U141" s="37">
        <f>VLOOKUP(обед7,таб,49,FALSE)</f>
        <v>0</v>
      </c>
      <c r="V141" s="38">
        <f>VLOOKUP(обед8,таб,49,FALSE)</f>
        <v>0</v>
      </c>
      <c r="W141" s="38">
        <f>VLOOKUP(полдник1,таб,49,FALSE)</f>
        <v>0</v>
      </c>
      <c r="X141" s="38">
        <f>VLOOKUP(полдник2,таб,49,FALSE)</f>
        <v>0</v>
      </c>
      <c r="Y141" s="95">
        <f>VLOOKUP(полдник3,таб,49,FALSE)</f>
        <v>0</v>
      </c>
      <c r="Z141" s="39">
        <f>VLOOKUP(ужин1,таб,49,FALSE)</f>
        <v>0</v>
      </c>
      <c r="AA141" s="37">
        <f>VLOOKUP(ужин2,таб,49,FALSE)</f>
        <v>0</v>
      </c>
      <c r="AB141" s="38">
        <f>VLOOKUP(ужин3,таб,49,FALSE)</f>
        <v>0</v>
      </c>
      <c r="AC141" s="37">
        <f>VLOOKUP(ужин4,таб,49,FALSE)</f>
        <v>0</v>
      </c>
      <c r="AD141" s="38">
        <f>VLOOKUP(ужин5,таб,49,FALSE)</f>
        <v>0</v>
      </c>
      <c r="AE141" s="37">
        <f>VLOOKUP(ужин6,таб,49,FALSE)</f>
        <v>0</v>
      </c>
      <c r="AF141" s="38">
        <f>VLOOKUP(ужин7,таб,49,FALSE)</f>
        <v>0</v>
      </c>
      <c r="AG141" s="95">
        <f>VLOOKUP(ужин8,таб,49,FALSE)</f>
        <v>0</v>
      </c>
      <c r="AH141" s="152"/>
      <c r="AI141" s="161">
        <f>AK141/сред</f>
        <v>0</v>
      </c>
      <c r="AJ141" s="162"/>
      <c r="AK141" s="154">
        <f>SUM(G142:AG142)</f>
        <v>0</v>
      </c>
      <c r="AL141" s="154"/>
      <c r="AM141" s="213">
        <f>IF(AK141=0,0,CM117)</f>
        <v>0</v>
      </c>
      <c r="AN141" s="155">
        <f>AK141*AM141</f>
        <v>0</v>
      </c>
      <c r="AP141">
        <v>137</v>
      </c>
      <c r="AQ141" s="61" t="s">
        <v>254</v>
      </c>
      <c r="AU141">
        <v>30</v>
      </c>
      <c r="DE141" s="61">
        <v>30</v>
      </c>
    </row>
    <row r="142" spans="1:109" ht="30.75" customHeight="1">
      <c r="A142" s="195"/>
      <c r="B142" s="195"/>
      <c r="C142" s="195"/>
      <c r="D142" s="195"/>
      <c r="E142" s="196"/>
      <c r="F142" s="66" t="s">
        <v>199</v>
      </c>
      <c r="G142" s="81">
        <f aca="true" t="shared" si="173" ref="G142:N142">IF(G141=0,"",завтракл*G141/1000)</f>
      </c>
      <c r="H142" s="49">
        <f t="shared" si="173"/>
      </c>
      <c r="I142" s="45">
        <f t="shared" si="173"/>
      </c>
      <c r="J142" s="49">
        <f t="shared" si="173"/>
      </c>
      <c r="K142" s="45">
        <f t="shared" si="173"/>
      </c>
      <c r="L142" s="45">
        <f t="shared" si="173"/>
      </c>
      <c r="M142" s="46">
        <f t="shared" si="173"/>
      </c>
      <c r="N142" s="89">
        <f t="shared" si="173"/>
      </c>
      <c r="O142" s="50">
        <f aca="true" t="shared" si="174" ref="O142:V142">IF(O141=0,"",обідл*O141/1000)</f>
      </c>
      <c r="P142" s="45">
        <f t="shared" si="174"/>
      </c>
      <c r="Q142" s="49">
        <f t="shared" si="174"/>
      </c>
      <c r="R142" s="45">
        <f t="shared" si="174"/>
      </c>
      <c r="S142" s="49">
        <f t="shared" si="174"/>
      </c>
      <c r="T142" s="45">
        <f t="shared" si="174"/>
      </c>
      <c r="U142" s="49">
        <f t="shared" si="174"/>
      </c>
      <c r="V142" s="45">
        <f t="shared" si="174"/>
      </c>
      <c r="W142" s="45">
        <f>IF(W141=0,"",полдникл*W141/1000)</f>
      </c>
      <c r="X142" s="45">
        <f>IF(X141=0,"",полдникл*X141/1000)</f>
      </c>
      <c r="Y142" s="92">
        <f>IF(Y141=0,"",полдникл*Y141/1000)</f>
      </c>
      <c r="Z142" s="50">
        <f aca="true" t="shared" si="175" ref="Z142:AG142">IF(Z141=0,"",ужинл*Z141/1000)</f>
      </c>
      <c r="AA142" s="49">
        <f t="shared" si="175"/>
      </c>
      <c r="AB142" s="45">
        <f t="shared" si="175"/>
      </c>
      <c r="AC142" s="49">
        <f t="shared" si="175"/>
      </c>
      <c r="AD142" s="45">
        <f t="shared" si="175"/>
      </c>
      <c r="AE142" s="49">
        <f t="shared" si="175"/>
      </c>
      <c r="AF142" s="45">
        <f t="shared" si="175"/>
      </c>
      <c r="AG142" s="92">
        <f t="shared" si="175"/>
      </c>
      <c r="AH142" s="153"/>
      <c r="AI142" s="161"/>
      <c r="AJ142" s="162"/>
      <c r="AK142" s="154"/>
      <c r="AL142" s="154"/>
      <c r="AM142" s="214"/>
      <c r="AN142" s="156"/>
      <c r="AP142">
        <v>138</v>
      </c>
      <c r="AQ142" s="99" t="s">
        <v>255</v>
      </c>
      <c r="AY142">
        <v>100</v>
      </c>
      <c r="DE142" s="61">
        <v>100</v>
      </c>
    </row>
    <row r="143" spans="1:109" ht="30.75" customHeight="1">
      <c r="A143" s="167" t="s">
        <v>83</v>
      </c>
      <c r="B143" s="167"/>
      <c r="C143" s="167"/>
      <c r="D143" s="167"/>
      <c r="E143" s="168"/>
      <c r="F143" s="71" t="s">
        <v>198</v>
      </c>
      <c r="G143" s="78">
        <f>VLOOKUP(завтрак1,таб,68,FALSE)</f>
        <v>0</v>
      </c>
      <c r="H143" s="34">
        <f>VLOOKUP(завтрак2,таб,68,FALSE)</f>
        <v>0</v>
      </c>
      <c r="I143" s="35">
        <f>VLOOKUP(завтрак3,таб,68,FALSE)</f>
        <v>0</v>
      </c>
      <c r="J143" s="34">
        <f>VLOOKUP(завтрак4,таб,68,FALSE)</f>
        <v>0</v>
      </c>
      <c r="K143" s="35">
        <f>VLOOKUP(завтрак5,таб,68,FALSE)</f>
        <v>0</v>
      </c>
      <c r="L143" s="35">
        <f>VLOOKUP(завтрак6,таб,68,FALSE)</f>
        <v>0</v>
      </c>
      <c r="M143" s="28">
        <f>VLOOKUP(завтрак7,таб,68,FALSE)</f>
        <v>0</v>
      </c>
      <c r="N143" s="88">
        <f>VLOOKUP(завтрак8,таб,68,FALSE)</f>
        <v>0</v>
      </c>
      <c r="O143" s="36">
        <f>VLOOKUP(обед1,таб,68,FALSE)</f>
        <v>0</v>
      </c>
      <c r="P143" s="35">
        <f>VLOOKUP(обед2,таб,68,FALSE)</f>
        <v>0</v>
      </c>
      <c r="Q143" s="34">
        <f>VLOOKUP(обед3,таб,68,FALSE)</f>
        <v>0</v>
      </c>
      <c r="R143" s="35">
        <f>VLOOKUP(обед4,таб,68,FALSE)</f>
        <v>0</v>
      </c>
      <c r="S143" s="34">
        <f>VLOOKUP(обед5,таб,68,FALSE)</f>
        <v>0</v>
      </c>
      <c r="T143" s="35">
        <f>VLOOKUP(обед6,таб,68,FALSE)</f>
        <v>0</v>
      </c>
      <c r="U143" s="34">
        <f>VLOOKUP(обед7,таб,68,FALSE)</f>
        <v>0</v>
      </c>
      <c r="V143" s="35">
        <f>VLOOKUP(обед8,таб,68,FALSE)</f>
        <v>0</v>
      </c>
      <c r="W143" s="35">
        <f>VLOOKUP(полдник1,таб,68,FALSE)</f>
        <v>0</v>
      </c>
      <c r="X143" s="35">
        <f>VLOOKUP(полдник2,таб,68,FALSE)</f>
        <v>0</v>
      </c>
      <c r="Y143" s="94">
        <f>VLOOKUP(полдник3,таб,68,FALSE)</f>
        <v>0</v>
      </c>
      <c r="Z143" s="36">
        <f>VLOOKUP(ужин1,таб,68,FALSE)</f>
        <v>0</v>
      </c>
      <c r="AA143" s="34">
        <f>VLOOKUP(ужин2,таб,68,FALSE)</f>
        <v>0</v>
      </c>
      <c r="AB143" s="35">
        <f>VLOOKUP(ужин3,таб,68,FALSE)</f>
        <v>0</v>
      </c>
      <c r="AC143" s="34">
        <f>VLOOKUP(ужин4,таб,68,FALSE)</f>
        <v>0</v>
      </c>
      <c r="AD143" s="35">
        <f>VLOOKUP(ужин5,таб,68,FALSE)</f>
        <v>0</v>
      </c>
      <c r="AE143" s="34">
        <f>VLOOKUP(ужин6,таб,68,FALSE)</f>
        <v>0</v>
      </c>
      <c r="AF143" s="35">
        <f>VLOOKUP(ужин7,таб,68,FALSE)</f>
        <v>0</v>
      </c>
      <c r="AG143" s="94">
        <f>VLOOKUP(ужин8,таб,68,FALSE)</f>
        <v>0</v>
      </c>
      <c r="AH143" s="152"/>
      <c r="AI143" s="161">
        <f>AK143/сред</f>
        <v>0</v>
      </c>
      <c r="AJ143" s="162"/>
      <c r="AK143" s="154">
        <f>SUM(G144:AG144)</f>
        <v>0</v>
      </c>
      <c r="AL143" s="154"/>
      <c r="AM143" s="213">
        <f>IF(AK143=0,0,DF117)</f>
        <v>0</v>
      </c>
      <c r="AN143" s="155">
        <f>AK143*AM143</f>
        <v>0</v>
      </c>
      <c r="AP143">
        <v>139</v>
      </c>
      <c r="AQ143" s="61" t="s">
        <v>256</v>
      </c>
      <c r="BC143">
        <v>5</v>
      </c>
      <c r="BG143">
        <v>20</v>
      </c>
      <c r="BH143">
        <v>74</v>
      </c>
      <c r="BJ143">
        <v>0.1</v>
      </c>
      <c r="BL143">
        <v>10</v>
      </c>
      <c r="BW143">
        <v>7</v>
      </c>
      <c r="BY143">
        <v>20</v>
      </c>
      <c r="DE143" s="61">
        <v>120</v>
      </c>
    </row>
    <row r="144" spans="1:109" ht="30.75" customHeight="1">
      <c r="A144" s="167"/>
      <c r="B144" s="167"/>
      <c r="C144" s="167"/>
      <c r="D144" s="167"/>
      <c r="E144" s="168"/>
      <c r="F144" s="66" t="s">
        <v>199</v>
      </c>
      <c r="G144" s="79">
        <f aca="true" t="shared" si="176" ref="G144:N144">IF(G143=0,"",завтракл*G143/1000)</f>
      </c>
      <c r="H144" s="47">
        <f t="shared" si="176"/>
      </c>
      <c r="I144" s="46">
        <f t="shared" si="176"/>
      </c>
      <c r="J144" s="47">
        <f t="shared" si="176"/>
      </c>
      <c r="K144" s="46">
        <f t="shared" si="176"/>
      </c>
      <c r="L144" s="46">
        <f t="shared" si="176"/>
      </c>
      <c r="M144" s="46">
        <f t="shared" si="176"/>
      </c>
      <c r="N144" s="89">
        <f t="shared" si="176"/>
      </c>
      <c r="O144" s="48">
        <f aca="true" t="shared" si="177" ref="O144:V144">IF(O143=0,"",обідл*O143/1000)</f>
      </c>
      <c r="P144" s="46">
        <f t="shared" si="177"/>
      </c>
      <c r="Q144" s="47">
        <f t="shared" si="177"/>
      </c>
      <c r="R144" s="46">
        <f t="shared" si="177"/>
      </c>
      <c r="S144" s="47">
        <f t="shared" si="177"/>
      </c>
      <c r="T144" s="46">
        <f t="shared" si="177"/>
      </c>
      <c r="U144" s="47">
        <f t="shared" si="177"/>
      </c>
      <c r="V144" s="46">
        <f t="shared" si="177"/>
      </c>
      <c r="W144" s="46">
        <f>IF(W143=0,"",полдникл*W143/1000)</f>
      </c>
      <c r="X144" s="46">
        <f>IF(X143=0,"",полдникл*X143/1000)</f>
      </c>
      <c r="Y144" s="89">
        <f>IF(Y143=0,"",полдникл*Y143/1000)</f>
      </c>
      <c r="Z144" s="48">
        <f aca="true" t="shared" si="178" ref="Z144:AG144">IF(Z143=0,"",ужинл*Z143/1000)</f>
      </c>
      <c r="AA144" s="47">
        <f t="shared" si="178"/>
      </c>
      <c r="AB144" s="46">
        <f t="shared" si="178"/>
      </c>
      <c r="AC144" s="47">
        <f t="shared" si="178"/>
      </c>
      <c r="AD144" s="46">
        <f t="shared" si="178"/>
      </c>
      <c r="AE144" s="47">
        <f t="shared" si="178"/>
      </c>
      <c r="AF144" s="46">
        <f t="shared" si="178"/>
      </c>
      <c r="AG144" s="89">
        <f t="shared" si="178"/>
      </c>
      <c r="AH144" s="153"/>
      <c r="AI144" s="161"/>
      <c r="AJ144" s="162"/>
      <c r="AK144" s="154"/>
      <c r="AL144" s="154"/>
      <c r="AM144" s="214"/>
      <c r="AN144" s="156"/>
      <c r="AP144">
        <v>140</v>
      </c>
      <c r="AQ144" s="99" t="s">
        <v>257</v>
      </c>
      <c r="AT144">
        <v>106</v>
      </c>
      <c r="BC144">
        <v>7</v>
      </c>
      <c r="BR144">
        <v>47</v>
      </c>
      <c r="CI144">
        <v>11</v>
      </c>
      <c r="CJ144">
        <v>55</v>
      </c>
      <c r="DE144" s="61">
        <v>200</v>
      </c>
    </row>
    <row r="145" spans="1:117" ht="30.75" customHeight="1">
      <c r="A145" s="191" t="s">
        <v>51</v>
      </c>
      <c r="B145" s="191"/>
      <c r="C145" s="191"/>
      <c r="D145" s="191"/>
      <c r="E145" s="192"/>
      <c r="F145" s="71" t="s">
        <v>198</v>
      </c>
      <c r="G145" s="80">
        <f>VLOOKUP(завтрак1,таб,52,FALSE)</f>
        <v>0</v>
      </c>
      <c r="H145" s="37">
        <f>VLOOKUP(завтрак2,таб,52,FALSE)</f>
        <v>0</v>
      </c>
      <c r="I145" s="38">
        <f>VLOOKUP(завтрак3,таб,52,FALSE)</f>
        <v>0</v>
      </c>
      <c r="J145" s="37">
        <f>VLOOKUP(завтрак4,таб,52,FALSE)</f>
        <v>0</v>
      </c>
      <c r="K145" s="38">
        <f>VLOOKUP(завтрак5,таб,52,FALSE)</f>
        <v>0</v>
      </c>
      <c r="L145" s="38">
        <f>VLOOKUP(завтрак6,таб,52,FALSE)</f>
        <v>0</v>
      </c>
      <c r="M145" s="28">
        <f>VLOOKUP(завтрак7,таб,52,FALSE)</f>
        <v>0</v>
      </c>
      <c r="N145" s="88">
        <f>VLOOKUP(завтрак8,таб,52,FALSE)</f>
        <v>0</v>
      </c>
      <c r="O145" s="39">
        <f>VLOOKUP(обед1,таб,52,FALSE)</f>
        <v>0</v>
      </c>
      <c r="P145" s="38">
        <f>VLOOKUP(обед2,таб,52,FALSE)</f>
        <v>0</v>
      </c>
      <c r="Q145" s="37">
        <f>VLOOKUP(обед3,таб,52,FALSE)</f>
        <v>0</v>
      </c>
      <c r="R145" s="38">
        <f>VLOOKUP(обед4,таб,52,FALSE)</f>
        <v>0</v>
      </c>
      <c r="S145" s="37">
        <f>VLOOKUP(обед5,таб,52,FALSE)</f>
        <v>0</v>
      </c>
      <c r="T145" s="38">
        <f>VLOOKUP(обед6,таб,52,FALSE)</f>
        <v>0</v>
      </c>
      <c r="U145" s="37">
        <f>VLOOKUP(обед7,таб,52,FALSE)</f>
        <v>0</v>
      </c>
      <c r="V145" s="38">
        <f>VLOOKUP(обед8,таб,52,FALSE)</f>
        <v>0</v>
      </c>
      <c r="W145" s="38">
        <f>VLOOKUP(полдник1,таб,52,FALSE)</f>
        <v>0</v>
      </c>
      <c r="X145" s="38">
        <f>VLOOKUP(полдник2,таб,52,FALSE)</f>
        <v>0</v>
      </c>
      <c r="Y145" s="95">
        <f>VLOOKUP(полдник3,таб,52,FALSE)</f>
        <v>0</v>
      </c>
      <c r="Z145" s="39">
        <f>VLOOKUP(ужин1,таб,52,FALSE)</f>
        <v>0</v>
      </c>
      <c r="AA145" s="37">
        <f>VLOOKUP(ужин2,таб,52,FALSE)</f>
        <v>0</v>
      </c>
      <c r="AB145" s="38">
        <f>VLOOKUP(ужин3,таб,52,FALSE)</f>
        <v>100</v>
      </c>
      <c r="AC145" s="37">
        <f>VLOOKUP(ужин4,таб,52,FALSE)</f>
        <v>0</v>
      </c>
      <c r="AD145" s="38">
        <f>VLOOKUP(ужин5,таб,52,FALSE)</f>
        <v>0</v>
      </c>
      <c r="AE145" s="37">
        <f>VLOOKUP(ужин6,таб,52,FALSE)</f>
        <v>0</v>
      </c>
      <c r="AF145" s="38">
        <f>VLOOKUP(ужин7,таб,52,FALSE)</f>
        <v>0</v>
      </c>
      <c r="AG145" s="95">
        <f>VLOOKUP(ужин8,таб,52,FALSE)</f>
        <v>0</v>
      </c>
      <c r="AH145" s="152"/>
      <c r="AI145" s="161">
        <f>AK145/сред</f>
        <v>0.1</v>
      </c>
      <c r="AJ145" s="162"/>
      <c r="AK145" s="154">
        <f>SUM(G146:AG146)</f>
        <v>1.6</v>
      </c>
      <c r="AL145" s="154"/>
      <c r="AM145" s="213">
        <f>IF(AK145=0,0,CP117)</f>
        <v>51</v>
      </c>
      <c r="AN145" s="155">
        <f>AK145*AM145</f>
        <v>81.60000000000001</v>
      </c>
      <c r="AP145">
        <v>141</v>
      </c>
      <c r="AQ145" s="61" t="s">
        <v>258</v>
      </c>
      <c r="DE145" s="61">
        <v>100</v>
      </c>
      <c r="DM145">
        <v>100</v>
      </c>
    </row>
    <row r="146" spans="1:109" ht="30.75" customHeight="1">
      <c r="A146" s="195"/>
      <c r="B146" s="195"/>
      <c r="C146" s="195"/>
      <c r="D146" s="195"/>
      <c r="E146" s="196"/>
      <c r="F146" s="66" t="s">
        <v>199</v>
      </c>
      <c r="G146" s="81">
        <f aca="true" t="shared" si="179" ref="G146:N146">IF(G145=0,"",завтракл*G145/1000)</f>
      </c>
      <c r="H146" s="45">
        <f t="shared" si="179"/>
      </c>
      <c r="I146" s="45">
        <f t="shared" si="179"/>
      </c>
      <c r="J146" s="45">
        <f t="shared" si="179"/>
      </c>
      <c r="K146" s="45">
        <f t="shared" si="179"/>
      </c>
      <c r="L146" s="45">
        <f t="shared" si="179"/>
      </c>
      <c r="M146" s="46">
        <f t="shared" si="179"/>
      </c>
      <c r="N146" s="89">
        <f t="shared" si="179"/>
      </c>
      <c r="O146" s="50">
        <f aca="true" t="shared" si="180" ref="O146:V146">IF(O145=0,"",обідл*O145/1000)</f>
      </c>
      <c r="P146" s="45">
        <f t="shared" si="180"/>
      </c>
      <c r="Q146" s="49">
        <f t="shared" si="180"/>
      </c>
      <c r="R146" s="45">
        <f t="shared" si="180"/>
      </c>
      <c r="S146" s="49">
        <f t="shared" si="180"/>
      </c>
      <c r="T146" s="45">
        <f t="shared" si="180"/>
      </c>
      <c r="U146" s="49">
        <f t="shared" si="180"/>
      </c>
      <c r="V146" s="45">
        <f t="shared" si="180"/>
      </c>
      <c r="W146" s="45">
        <f>IF(W145=0,"",полдникл*W145/1000)</f>
      </c>
      <c r="X146" s="45">
        <f>IF(X145=0,"",полдникл*X145/1000)</f>
      </c>
      <c r="Y146" s="92">
        <f>IF(Y145=0,"",полдникл*Y145/1000)</f>
      </c>
      <c r="Z146" s="50">
        <f aca="true" t="shared" si="181" ref="Z146:AG146">IF(Z145=0,"",ужинл*Z145/1000)</f>
      </c>
      <c r="AA146" s="49">
        <f t="shared" si="181"/>
      </c>
      <c r="AB146" s="45">
        <f t="shared" si="181"/>
        <v>1.6</v>
      </c>
      <c r="AC146" s="49">
        <f t="shared" si="181"/>
      </c>
      <c r="AD146" s="45">
        <f t="shared" si="181"/>
      </c>
      <c r="AE146" s="49">
        <f t="shared" si="181"/>
      </c>
      <c r="AF146" s="45">
        <f t="shared" si="181"/>
      </c>
      <c r="AG146" s="92">
        <f t="shared" si="181"/>
      </c>
      <c r="AH146" s="153"/>
      <c r="AI146" s="161"/>
      <c r="AJ146" s="162"/>
      <c r="AK146" s="154"/>
      <c r="AL146" s="154"/>
      <c r="AM146" s="214"/>
      <c r="AN146" s="156"/>
      <c r="AP146">
        <v>142</v>
      </c>
      <c r="AQ146" s="99"/>
      <c r="DE146" s="61"/>
    </row>
    <row r="147" spans="1:109" ht="25.5">
      <c r="A147" s="167" t="s">
        <v>52</v>
      </c>
      <c r="B147" s="167"/>
      <c r="C147" s="167"/>
      <c r="D147" s="167"/>
      <c r="E147" s="168"/>
      <c r="F147" s="71" t="s">
        <v>198</v>
      </c>
      <c r="G147" s="78">
        <f>IF(завтрак1="хліб пшеничний",100,(VLOOKUP(завтрак1,таб,53,FALSE)))</f>
        <v>0</v>
      </c>
      <c r="H147" s="34">
        <f>IF(завтрак2="хліб пшеничний",100,(VLOOKUP(завтрак2,таб,53,FALSE)))</f>
        <v>0</v>
      </c>
      <c r="I147" s="35">
        <f>IF(завтрак3="хліб пшеничний",100,(VLOOKUP(завтрак3,таб,53,FALSE)))</f>
        <v>0</v>
      </c>
      <c r="J147" s="34">
        <f>IF(завтрак4="хліб пшеничний",100,(VLOOKUP(завтрак4,таб,53,FALSE)))</f>
        <v>0</v>
      </c>
      <c r="K147" s="35">
        <v>100</v>
      </c>
      <c r="L147" s="35">
        <f>IF(завтрак6="хліб пшеничний",100,(VLOOKUP(завтрак6,таб,53,FALSE)))</f>
        <v>0</v>
      </c>
      <c r="M147" s="28">
        <f>IF(завтрак7="хліб пшеничний",100,(VLOOKUP(завтрак7,таб,53,FALSE)))</f>
        <v>0</v>
      </c>
      <c r="N147" s="88">
        <f>IF(завтрак8="хліб пшеничний",100,(VLOOKUP(завтрак8,таб,53,FALSE)))</f>
        <v>0</v>
      </c>
      <c r="O147" s="36">
        <f>IF(обед1="хліб пшеничний",150,(VLOOKUP(обед1,таб,53,FALSE)))</f>
        <v>0</v>
      </c>
      <c r="P147" s="35">
        <f>IF(обед2="хліб пшеничний",150,(VLOOKUP(обед2,таб,53,FALSE)))</f>
        <v>0</v>
      </c>
      <c r="Q147" s="34">
        <f>IF(обед3="хліб пшеничний",150,(VLOOKUP(обед3,таб,53,FALSE)))</f>
        <v>0</v>
      </c>
      <c r="R147" s="35">
        <f>IF(обед4="хліб пшеничний",150,(VLOOKUP(обед4,таб,53,FALSE)))</f>
        <v>0</v>
      </c>
      <c r="S147" s="34">
        <v>150</v>
      </c>
      <c r="T147" s="35">
        <f>IF(обед6="хліб пшеничний",150,(VLOOKUP(обед6,таб,53,FALSE)))</f>
        <v>0</v>
      </c>
      <c r="U147" s="34">
        <f>IF(обед7="хліб пшеничний",150,(VLOOKUP(обед7,таб,53,FALSE)))</f>
        <v>0</v>
      </c>
      <c r="V147" s="35">
        <f>IF(обед8="хліб пшеничний",150,(VLOOKUP(обед8,таб,53,FALSE)))</f>
        <v>0</v>
      </c>
      <c r="W147" s="35">
        <f>VLOOKUP(полдник1,таб,53,FALSE)</f>
        <v>0</v>
      </c>
      <c r="X147" s="35">
        <f>VLOOKUP(полдник2,таб,53,FALSE)</f>
        <v>0</v>
      </c>
      <c r="Y147" s="94">
        <f>VLOOKUP(полдник3,таб,53,FALSE)</f>
        <v>0</v>
      </c>
      <c r="Z147" s="36">
        <f>IF(ужин1="хліб пшеничний",80,(VLOOKUP(ужин1,таб,53,FALSE)))</f>
        <v>0</v>
      </c>
      <c r="AA147" s="34">
        <f>IF(ужин2="хліб пшеничний",80,(VLOOKUP(ужин2,таб,53,FALSE)))</f>
        <v>14</v>
      </c>
      <c r="AB147" s="35">
        <f>IF(ужин3="хліб пшеничний",80,(VLOOKUP(ужин3,таб,53,FALSE)))</f>
        <v>0</v>
      </c>
      <c r="AC147" s="34">
        <f>IF(ужин4="хліб пшеничний",80,(VLOOKUP(ужин4,таб,53,FALSE)))</f>
        <v>0</v>
      </c>
      <c r="AD147" s="35">
        <v>66</v>
      </c>
      <c r="AE147" s="34">
        <f>IF(ужин6="хліб пшеничний",80,(VLOOKUP(ужин6,таб,53,FALSE)))</f>
        <v>0</v>
      </c>
      <c r="AF147" s="35">
        <f>IF(ужин7="хліб пшеничний",80,(VLOOKUP(ужин7,таб,53,FALSE)))</f>
        <v>0</v>
      </c>
      <c r="AG147" s="94">
        <f>IF(ужин8="хліб пшеничний",80,(VLOOKUP(ужин8,таб,53,FALSE)))</f>
        <v>0</v>
      </c>
      <c r="AH147" s="152">
        <v>616001</v>
      </c>
      <c r="AI147" s="161">
        <f>AK147/сред</f>
        <v>0.33</v>
      </c>
      <c r="AJ147" s="162"/>
      <c r="AK147" s="154">
        <f>SUM(G148:AG148)</f>
        <v>5.28</v>
      </c>
      <c r="AL147" s="154"/>
      <c r="AM147" s="213">
        <f>IF(AK147=0,0,CQ117)</f>
        <v>11.04</v>
      </c>
      <c r="AN147" s="155">
        <f>AK147*AM147</f>
        <v>58.291199999999996</v>
      </c>
      <c r="AP147">
        <v>143</v>
      </c>
      <c r="AQ147" s="61" t="s">
        <v>321</v>
      </c>
      <c r="BW147">
        <v>20</v>
      </c>
      <c r="CU147">
        <v>4</v>
      </c>
      <c r="DE147" s="61">
        <v>200</v>
      </c>
    </row>
    <row r="148" spans="1:111" ht="30.75" customHeight="1">
      <c r="A148" s="167"/>
      <c r="B148" s="167"/>
      <c r="C148" s="167"/>
      <c r="D148" s="167"/>
      <c r="E148" s="168"/>
      <c r="F148" s="66" t="s">
        <v>199</v>
      </c>
      <c r="G148" s="79">
        <f aca="true" t="shared" si="182" ref="G148:N148">IF(G147=0,"",завтракл*G147/1000)</f>
      </c>
      <c r="H148" s="47">
        <f t="shared" si="182"/>
      </c>
      <c r="I148" s="46">
        <f t="shared" si="182"/>
      </c>
      <c r="J148" s="47">
        <f t="shared" si="182"/>
      </c>
      <c r="K148" s="46">
        <f t="shared" si="182"/>
        <v>1.6</v>
      </c>
      <c r="L148" s="46">
        <f t="shared" si="182"/>
      </c>
      <c r="M148" s="46">
        <f t="shared" si="182"/>
      </c>
      <c r="N148" s="89">
        <f t="shared" si="182"/>
      </c>
      <c r="O148" s="48">
        <f aca="true" t="shared" si="183" ref="O148:V148">IF(O147=0,"",обідл*O147/1000)</f>
      </c>
      <c r="P148" s="46">
        <f t="shared" si="183"/>
      </c>
      <c r="Q148" s="47">
        <f t="shared" si="183"/>
      </c>
      <c r="R148" s="46">
        <f t="shared" si="183"/>
      </c>
      <c r="S148" s="47">
        <f t="shared" si="183"/>
        <v>2.4</v>
      </c>
      <c r="T148" s="46">
        <f t="shared" si="183"/>
      </c>
      <c r="U148" s="47">
        <f t="shared" si="183"/>
      </c>
      <c r="V148" s="46">
        <f t="shared" si="183"/>
      </c>
      <c r="W148" s="46">
        <f>IF(W147=0,"",полдникл*W147/1000)</f>
      </c>
      <c r="X148" s="46">
        <f>IF(X147=0,"",полдникл*X147/1000)</f>
      </c>
      <c r="Y148" s="89">
        <f>IF(Y147=0,"",полдникл*Y147/1000)</f>
      </c>
      <c r="Z148" s="48">
        <f aca="true" t="shared" si="184" ref="Z148:AG148">IF(Z147=0,"",ужинл*Z147/1000)</f>
      </c>
      <c r="AA148" s="47">
        <f t="shared" si="184"/>
        <v>0.224</v>
      </c>
      <c r="AB148" s="46">
        <f t="shared" si="184"/>
      </c>
      <c r="AC148" s="47">
        <f t="shared" si="184"/>
      </c>
      <c r="AD148" s="46">
        <f t="shared" si="184"/>
        <v>1.056</v>
      </c>
      <c r="AE148" s="47">
        <f t="shared" si="184"/>
      </c>
      <c r="AF148" s="46">
        <f t="shared" si="184"/>
      </c>
      <c r="AG148" s="89">
        <f t="shared" si="184"/>
      </c>
      <c r="AH148" s="153"/>
      <c r="AI148" s="161"/>
      <c r="AJ148" s="162"/>
      <c r="AK148" s="154"/>
      <c r="AL148" s="154"/>
      <c r="AM148" s="214"/>
      <c r="AN148" s="156"/>
      <c r="AP148">
        <v>145</v>
      </c>
      <c r="AQ148" s="99" t="s">
        <v>259</v>
      </c>
      <c r="DE148" s="61">
        <v>30</v>
      </c>
      <c r="DG148">
        <v>30</v>
      </c>
    </row>
    <row r="149" spans="1:109" ht="30.75" customHeight="1">
      <c r="A149" s="191" t="s">
        <v>53</v>
      </c>
      <c r="B149" s="191"/>
      <c r="C149" s="191"/>
      <c r="D149" s="191"/>
      <c r="E149" s="192"/>
      <c r="F149" s="71" t="s">
        <v>198</v>
      </c>
      <c r="G149" s="80">
        <f>IF(завтрак1="хліб житній",50,(VLOOKUP(завтрак1,таб,54,FALSE)))</f>
        <v>0</v>
      </c>
      <c r="H149" s="37">
        <f>IF(завтрак2="хліб житній",50,(VLOOKUP(завтрак2,таб,54,FALSE)))</f>
        <v>0</v>
      </c>
      <c r="I149" s="38">
        <f>IF(завтрак3="хліб житній",50,(VLOOKUP(завтрак3,таб,54,FALSE)))</f>
        <v>0</v>
      </c>
      <c r="J149" s="37">
        <f>IF(завтрак4="хліб житній",50,(VLOOKUP(завтрак4,таб,54,FALSE)))</f>
        <v>0</v>
      </c>
      <c r="K149" s="38">
        <f>IF(завтрак5="хліб житній",50,(VLOOKUP(завтрак5,таб,54,FALSE)))</f>
        <v>0</v>
      </c>
      <c r="L149" s="38">
        <f>IF(завтрак6="хліб житній",50,(VLOOKUP(завтрак6,таб,54,FALSE)))</f>
        <v>0</v>
      </c>
      <c r="M149" s="28">
        <f>IF(завтрак7="хліб житній",50,(VLOOKUP(завтрак7,таб,54,FALSE)))</f>
        <v>0</v>
      </c>
      <c r="N149" s="88">
        <f>IF(завтрак8="хліб житній",50,(VLOOKUP(завтрак8,таб,54,FALSE)))</f>
        <v>0</v>
      </c>
      <c r="O149" s="39">
        <f>IF(обед1="хліб житній",100,VLOOKUP(обед1,таб,54,FALSE))</f>
        <v>0</v>
      </c>
      <c r="P149" s="38">
        <f>IF(обед2="хліб житній",100,VLOOKUP(обед2,таб,54,FALSE))</f>
        <v>0</v>
      </c>
      <c r="Q149" s="37">
        <f>IF(обед3="хліб житній",100,VLOOKUP(обед3,таб,54,FALSE))</f>
        <v>0</v>
      </c>
      <c r="R149" s="38">
        <f>IF(обед4="хліб житній",100,VLOOKUP(обед4,таб,54,FALSE))</f>
        <v>0</v>
      </c>
      <c r="S149" s="37">
        <f>IF(обед5="хліб житній",100,VLOOKUP(обед5,таб,54,FALSE))</f>
        <v>0</v>
      </c>
      <c r="T149" s="38">
        <f>IF(обед6="хліб житній",100,VLOOKUP(обед6,таб,54,FALSE))</f>
        <v>0</v>
      </c>
      <c r="U149" s="37">
        <f>IF(обед7="хліб житній",100,VLOOKUP(обед7,таб,54,FALSE))</f>
        <v>0</v>
      </c>
      <c r="V149" s="38">
        <f>IF(обед8="хліб житній",100,VLOOKUP(обед8,таб,54,FALSE))</f>
        <v>0</v>
      </c>
      <c r="W149" s="38">
        <f>VLOOKUP(полдник1,таб,54,FALSE)</f>
        <v>0</v>
      </c>
      <c r="X149" s="38">
        <f>VLOOKUP(полдник2,таб,54,FALSE)</f>
        <v>0</v>
      </c>
      <c r="Y149" s="95">
        <f>VLOOKUP(полдник3,таб,54,FALSE)</f>
        <v>0</v>
      </c>
      <c r="Z149" s="39">
        <f>IF(ужин1="хліб житній",50,VLOOKUP(ужин1,таб,54,FALSE))</f>
        <v>0</v>
      </c>
      <c r="AA149" s="37">
        <f>IF(ужин2="хліб житній",50,VLOOKUP(ужин2,таб,54,FALSE))</f>
        <v>0</v>
      </c>
      <c r="AB149" s="38">
        <f>IF(ужин3="хліб житній",50,VLOOKUP(ужин3,таб,54,FALSE))</f>
        <v>0</v>
      </c>
      <c r="AC149" s="37">
        <f>IF(ужин4="хліб житній",50,VLOOKUP(ужин4,таб,54,FALSE))</f>
        <v>0</v>
      </c>
      <c r="AD149" s="38">
        <f>IF(ужин5="хліб житній",50,VLOOKUP(ужин5,таб,54,FALSE))</f>
        <v>0</v>
      </c>
      <c r="AE149" s="37">
        <f>IF(ужин6="хліб житній",50,VLOOKUP(ужин6,таб,54,FALSE))</f>
        <v>0</v>
      </c>
      <c r="AF149" s="38">
        <f>IF(ужин7="хліб житній",50,VLOOKUP(ужин7,таб,54,FALSE))</f>
        <v>0</v>
      </c>
      <c r="AG149" s="95">
        <f>IF(ужин8="хліб житній",50,VLOOKUP(ужин8,таб,54,FALSE))</f>
        <v>0</v>
      </c>
      <c r="AH149" s="152">
        <v>616002</v>
      </c>
      <c r="AI149" s="161">
        <f>AK149/сред</f>
        <v>0</v>
      </c>
      <c r="AJ149" s="162"/>
      <c r="AK149" s="154">
        <f>SUM(G150:AG150)</f>
        <v>0</v>
      </c>
      <c r="AL149" s="154"/>
      <c r="AM149" s="213">
        <f>IF(AK149=0,0,CR117)</f>
        <v>0</v>
      </c>
      <c r="AN149" s="155">
        <f>AK149*AM149</f>
        <v>0</v>
      </c>
      <c r="AP149">
        <v>146</v>
      </c>
      <c r="AQ149" s="61" t="s">
        <v>260</v>
      </c>
      <c r="BV149">
        <v>100</v>
      </c>
      <c r="DE149" s="61">
        <v>100</v>
      </c>
    </row>
    <row r="150" spans="1:121" ht="30.75" customHeight="1">
      <c r="A150" s="195"/>
      <c r="B150" s="195"/>
      <c r="C150" s="195"/>
      <c r="D150" s="195"/>
      <c r="E150" s="196"/>
      <c r="F150" s="72" t="s">
        <v>199</v>
      </c>
      <c r="G150" s="81">
        <f aca="true" t="shared" si="185" ref="G150:N150">IF(G149=0,"",завтракл*G149/1000)</f>
      </c>
      <c r="H150" s="45">
        <f t="shared" si="185"/>
      </c>
      <c r="I150" s="45">
        <f t="shared" si="185"/>
      </c>
      <c r="J150" s="45">
        <f t="shared" si="185"/>
      </c>
      <c r="K150" s="45">
        <f t="shared" si="185"/>
      </c>
      <c r="L150" s="45">
        <f t="shared" si="185"/>
      </c>
      <c r="M150" s="46">
        <f t="shared" si="185"/>
      </c>
      <c r="N150" s="89">
        <f t="shared" si="185"/>
      </c>
      <c r="O150" s="50">
        <f aca="true" t="shared" si="186" ref="O150:V150">IF(O149=0,"",обідл*O149/1000)</f>
      </c>
      <c r="P150" s="45">
        <f t="shared" si="186"/>
      </c>
      <c r="Q150" s="49">
        <f t="shared" si="186"/>
      </c>
      <c r="R150" s="45">
        <f t="shared" si="186"/>
      </c>
      <c r="S150" s="49">
        <f t="shared" si="186"/>
      </c>
      <c r="T150" s="45">
        <f t="shared" si="186"/>
      </c>
      <c r="U150" s="49">
        <f t="shared" si="186"/>
      </c>
      <c r="V150" s="45">
        <f t="shared" si="186"/>
      </c>
      <c r="W150" s="45">
        <f>IF(W149=0,"",полдникл*W149/1000)</f>
      </c>
      <c r="X150" s="45">
        <f>IF(X149=0,"",полдникл*X149/1000)</f>
      </c>
      <c r="Y150" s="92">
        <f>IF(Y149=0,"",полдникл*Y149/1000)</f>
      </c>
      <c r="Z150" s="50">
        <f aca="true" t="shared" si="187" ref="Z150:AG150">IF(Z149=0,"",ужинл*Z149/1000)</f>
      </c>
      <c r="AA150" s="49">
        <f t="shared" si="187"/>
      </c>
      <c r="AB150" s="45">
        <f t="shared" si="187"/>
      </c>
      <c r="AC150" s="49">
        <f t="shared" si="187"/>
      </c>
      <c r="AD150" s="45">
        <f t="shared" si="187"/>
      </c>
      <c r="AE150" s="49">
        <f t="shared" si="187"/>
      </c>
      <c r="AF150" s="45">
        <f t="shared" si="187"/>
      </c>
      <c r="AG150" s="92">
        <f t="shared" si="187"/>
      </c>
      <c r="AH150" s="153"/>
      <c r="AI150" s="161"/>
      <c r="AJ150" s="162"/>
      <c r="AK150" s="154"/>
      <c r="AL150" s="154"/>
      <c r="AM150" s="214"/>
      <c r="AN150" s="156"/>
      <c r="AP150">
        <v>147</v>
      </c>
      <c r="AQ150" s="99" t="s">
        <v>261</v>
      </c>
      <c r="AZ150">
        <v>5</v>
      </c>
      <c r="BG150">
        <v>20</v>
      </c>
      <c r="CG150">
        <v>100</v>
      </c>
      <c r="CH150">
        <v>60</v>
      </c>
      <c r="CI150">
        <v>14</v>
      </c>
      <c r="CJ150">
        <v>15</v>
      </c>
      <c r="CM150">
        <v>5</v>
      </c>
      <c r="CO150">
        <v>60</v>
      </c>
      <c r="DE150" s="61">
        <v>300</v>
      </c>
      <c r="DQ150">
        <v>20</v>
      </c>
    </row>
    <row r="151" spans="1:113" ht="30.75" customHeight="1">
      <c r="A151" s="197" t="s">
        <v>351</v>
      </c>
      <c r="B151" s="197"/>
      <c r="C151" s="197"/>
      <c r="D151" s="197"/>
      <c r="E151" s="198"/>
      <c r="F151" s="71" t="s">
        <v>198</v>
      </c>
      <c r="G151" s="78">
        <f>VLOOKUP(завтрак1,таб,55,FALSE)</f>
        <v>0</v>
      </c>
      <c r="H151" s="28">
        <f>VLOOKUP(завтрак2,таб,55,FALSE)</f>
        <v>0</v>
      </c>
      <c r="I151" s="28">
        <f>VLOOKUP(завтрак3,таб,55,FALSE)</f>
        <v>0</v>
      </c>
      <c r="J151" s="28">
        <f>VLOOKUP(завтрак4,таб,55,FALSE)</f>
        <v>0</v>
      </c>
      <c r="K151" s="28">
        <f>VLOOKUP(завтрак5,таб,55,FALSE)</f>
        <v>0</v>
      </c>
      <c r="L151" s="28">
        <f>VLOOKUP(завтрак6,таб,55,FALSE)</f>
        <v>0</v>
      </c>
      <c r="M151" s="28">
        <f>VLOOKUP(завтрак7,таб,55,FALSE)</f>
        <v>0</v>
      </c>
      <c r="N151" s="88">
        <f>VLOOKUP(завтрак8,таб,55,FALSE)</f>
        <v>0</v>
      </c>
      <c r="O151" s="36">
        <f>VLOOKUP(обед1,таб,55,FALSE)</f>
        <v>0</v>
      </c>
      <c r="P151" s="35">
        <f>VLOOKUP(обед2,таб,55,FALSE)</f>
        <v>0</v>
      </c>
      <c r="Q151" s="34">
        <f>VLOOKUP(обед3,таб,55,FALSE)</f>
        <v>0</v>
      </c>
      <c r="R151" s="35">
        <f>VLOOKUP(обед4,таб,55,FALSE)</f>
        <v>0</v>
      </c>
      <c r="S151" s="34">
        <f>VLOOKUP(обед5,таб,55,FALSE)</f>
        <v>0</v>
      </c>
      <c r="T151" s="35">
        <f>VLOOKUP(обед6,таб,55,FALSE)</f>
        <v>0</v>
      </c>
      <c r="U151" s="34">
        <f>VLOOKUP(обед7,таб,55,FALSE)</f>
        <v>0</v>
      </c>
      <c r="V151" s="35">
        <f>VLOOKUP(обед8,таб,55,FALSE)</f>
        <v>0</v>
      </c>
      <c r="W151" s="35">
        <f>VLOOKUP(полдник1,таб,55,FALSE)</f>
        <v>0</v>
      </c>
      <c r="X151" s="35">
        <f>VLOOKUP(полдник2,таб,55,FALSE)</f>
        <v>0</v>
      </c>
      <c r="Y151" s="94">
        <f>VLOOKUP(полдник3,таб,55,FALSE)</f>
        <v>0</v>
      </c>
      <c r="Z151" s="36">
        <f>VLOOKUP(ужин1,таб,55,FALSE)</f>
        <v>0</v>
      </c>
      <c r="AA151" s="34">
        <f>VLOOKUP(ужин2,таб,55,FALSE)</f>
        <v>0</v>
      </c>
      <c r="AB151" s="35">
        <f>VLOOKUP(ужин3,таб,55,FALSE)</f>
        <v>0</v>
      </c>
      <c r="AC151" s="34">
        <f>VLOOKUP(ужин4,таб,55,FALSE)</f>
        <v>0</v>
      </c>
      <c r="AD151" s="35">
        <f>VLOOKUP(ужин5,таб,55,FALSE)</f>
        <v>0</v>
      </c>
      <c r="AE151" s="34">
        <f>VLOOKUP(ужин6,таб,55,FALSE)</f>
        <v>0</v>
      </c>
      <c r="AF151" s="35">
        <f>VLOOKUP(ужин7,таб,55,FALSE)</f>
        <v>0</v>
      </c>
      <c r="AG151" s="94">
        <f>VLOOKUP(ужин8,таб,55,FALSE)</f>
        <v>0</v>
      </c>
      <c r="AH151" s="152"/>
      <c r="AI151" s="217">
        <f>AK151/сред</f>
        <v>0</v>
      </c>
      <c r="AJ151" s="160"/>
      <c r="AK151" s="160">
        <f>SUM(G152:AG152)</f>
        <v>0</v>
      </c>
      <c r="AL151" s="160"/>
      <c r="AM151" s="213">
        <f>IF(AK151=0,0,CS117)</f>
        <v>0</v>
      </c>
      <c r="AN151" s="155">
        <f>AK151*AM151</f>
        <v>0</v>
      </c>
      <c r="AP151">
        <v>148</v>
      </c>
      <c r="AQ151" s="61" t="s">
        <v>262</v>
      </c>
      <c r="AZ151">
        <v>10</v>
      </c>
      <c r="BH151">
        <v>85</v>
      </c>
      <c r="BJ151">
        <v>0.1</v>
      </c>
      <c r="BS151">
        <v>42</v>
      </c>
      <c r="BW151">
        <v>10</v>
      </c>
      <c r="DE151" s="61" t="s">
        <v>299</v>
      </c>
      <c r="DI151">
        <v>5</v>
      </c>
    </row>
    <row r="152" spans="1:113" ht="30.75" customHeight="1">
      <c r="A152" s="197"/>
      <c r="B152" s="197"/>
      <c r="C152" s="197"/>
      <c r="D152" s="197"/>
      <c r="E152" s="198"/>
      <c r="F152" s="72" t="s">
        <v>199</v>
      </c>
      <c r="G152" s="79">
        <f aca="true" t="shared" si="188" ref="G152:N152">IF(G151=0,"",завтракл*G151/1000)</f>
      </c>
      <c r="H152" s="24">
        <f t="shared" si="188"/>
      </c>
      <c r="I152" s="24">
        <f t="shared" si="188"/>
      </c>
      <c r="J152" s="24">
        <f t="shared" si="188"/>
      </c>
      <c r="K152" s="24">
        <f t="shared" si="188"/>
      </c>
      <c r="L152" s="24">
        <f t="shared" si="188"/>
      </c>
      <c r="M152" s="24">
        <f t="shared" si="188"/>
      </c>
      <c r="N152" s="90">
        <f t="shared" si="188"/>
      </c>
      <c r="O152" s="26">
        <f aca="true" t="shared" si="189" ref="O152:V152">IF(O151=0,"",обідл*O151/1000)</f>
      </c>
      <c r="P152" s="24">
        <f t="shared" si="189"/>
      </c>
      <c r="Q152" s="24">
        <f t="shared" si="189"/>
      </c>
      <c r="R152" s="24">
        <f t="shared" si="189"/>
      </c>
      <c r="S152" s="24">
        <f t="shared" si="189"/>
      </c>
      <c r="T152" s="24">
        <f t="shared" si="189"/>
      </c>
      <c r="U152" s="24">
        <f t="shared" si="189"/>
      </c>
      <c r="V152" s="24">
        <f t="shared" si="189"/>
      </c>
      <c r="W152" s="24">
        <f>IF(W151=0,"",полдникл*W151/1000)</f>
      </c>
      <c r="X152" s="24">
        <f>IF(X151=0,"",полдникл*X151/1000)</f>
      </c>
      <c r="Y152" s="90">
        <f>IF(Y151=0,"",полдникл*Y151/1000)</f>
      </c>
      <c r="Z152" s="26">
        <f aca="true" t="shared" si="190" ref="Z152:AG152">IF(Z151=0,"",ужинл*Z151/1000)</f>
      </c>
      <c r="AA152" s="24">
        <f t="shared" si="190"/>
      </c>
      <c r="AB152" s="24">
        <f t="shared" si="190"/>
      </c>
      <c r="AC152" s="24">
        <f t="shared" si="190"/>
      </c>
      <c r="AD152" s="24">
        <f t="shared" si="190"/>
      </c>
      <c r="AE152" s="24">
        <f t="shared" si="190"/>
      </c>
      <c r="AF152" s="24">
        <f t="shared" si="190"/>
      </c>
      <c r="AG152" s="90">
        <f t="shared" si="190"/>
      </c>
      <c r="AH152" s="153"/>
      <c r="AI152" s="217"/>
      <c r="AJ152" s="160"/>
      <c r="AK152" s="160"/>
      <c r="AL152" s="160"/>
      <c r="AM152" s="214"/>
      <c r="AN152" s="156"/>
      <c r="AP152">
        <v>149</v>
      </c>
      <c r="AQ152" s="99" t="s">
        <v>263</v>
      </c>
      <c r="AZ152">
        <v>10</v>
      </c>
      <c r="BJ152">
        <v>0.1</v>
      </c>
      <c r="BO152">
        <v>52</v>
      </c>
      <c r="BW152">
        <v>10</v>
      </c>
      <c r="DE152" s="61">
        <v>200</v>
      </c>
      <c r="DI152">
        <v>5</v>
      </c>
    </row>
    <row r="153" spans="1:109" ht="30.75" customHeight="1">
      <c r="A153" s="191" t="s">
        <v>344</v>
      </c>
      <c r="B153" s="191"/>
      <c r="C153" s="191"/>
      <c r="D153" s="191"/>
      <c r="E153" s="192"/>
      <c r="F153" s="71" t="s">
        <v>198</v>
      </c>
      <c r="G153" s="80">
        <f>VLOOKUP(завтрак1,таб,56,FALSE)</f>
        <v>0</v>
      </c>
      <c r="H153" s="31">
        <f>VLOOKUP(завтрак2,таб,56,FALSE)</f>
        <v>0</v>
      </c>
      <c r="I153" s="31">
        <f>VLOOKUP(завтрак3,таб,56,FALSE)</f>
        <v>0</v>
      </c>
      <c r="J153" s="31">
        <f>VLOOKUP(завтрак4,таб,56,FALSE)</f>
        <v>0</v>
      </c>
      <c r="K153" s="31">
        <f>VLOOKUP(завтрак5,таб,56,FALSE)</f>
        <v>0</v>
      </c>
      <c r="L153" s="31">
        <f>VLOOKUP(завтрак6,таб,56,FALSE)</f>
        <v>0</v>
      </c>
      <c r="M153" s="28">
        <f>VLOOKUP(завтрак7,таб,56,FALSE)</f>
        <v>0</v>
      </c>
      <c r="N153" s="88">
        <f>VLOOKUP(завтрак8,таб,56,FALSE)</f>
        <v>0</v>
      </c>
      <c r="O153" s="39">
        <f>VLOOKUP(обед1,таб,56,FALSE)</f>
        <v>0</v>
      </c>
      <c r="P153" s="38">
        <f>VLOOKUP(обед2,таб,56,FALSE)</f>
        <v>0</v>
      </c>
      <c r="Q153" s="37">
        <f>VLOOKUP(обед3,таб,56,FALSE)</f>
        <v>0</v>
      </c>
      <c r="R153" s="38">
        <f>VLOOKUP(обед4,таб,56,FALSE)</f>
        <v>0</v>
      </c>
      <c r="S153" s="37">
        <f>VLOOKUP(обед5,таб,56,FALSE)</f>
        <v>0</v>
      </c>
      <c r="T153" s="38">
        <f>VLOOKUP(обед6,таб,56,FALSE)</f>
        <v>0</v>
      </c>
      <c r="U153" s="37">
        <f>VLOOKUP(обед7,таб,56,FALSE)</f>
        <v>0</v>
      </c>
      <c r="V153" s="38">
        <f>VLOOKUP(обед8,таб,56,FALSE)</f>
        <v>0</v>
      </c>
      <c r="W153" s="38">
        <f>VLOOKUP(полдник1,таб,56,FALSE)</f>
        <v>0</v>
      </c>
      <c r="X153" s="38">
        <f>VLOOKUP(полдник2,таб,56,FALSE)</f>
        <v>0</v>
      </c>
      <c r="Y153" s="95">
        <f>VLOOKUP(полдник3,таб,56,FALSE)</f>
        <v>0</v>
      </c>
      <c r="Z153" s="39">
        <f>VLOOKUP(ужин1,таб,56,FALSE)</f>
        <v>0</v>
      </c>
      <c r="AA153" s="37">
        <f>VLOOKUP(ужин2,таб,56,FALSE)</f>
        <v>0</v>
      </c>
      <c r="AB153" s="38">
        <f>VLOOKUP(ужин3,таб,56,FALSE)</f>
        <v>0</v>
      </c>
      <c r="AC153" s="37">
        <f>VLOOKUP(ужин4,таб,56,FALSE)</f>
        <v>0</v>
      </c>
      <c r="AD153" s="38">
        <f>VLOOKUP(ужин5,таб,56,FALSE)</f>
        <v>0</v>
      </c>
      <c r="AE153" s="37">
        <f>VLOOKUP(ужин6,таб,56,FALSE)</f>
        <v>0</v>
      </c>
      <c r="AF153" s="38">
        <f>VLOOKUP(ужин7,таб,56,FALSE)</f>
        <v>0</v>
      </c>
      <c r="AG153" s="95">
        <f>VLOOKUP(ужин8,таб,56,FALSE)</f>
        <v>0</v>
      </c>
      <c r="AH153" s="152"/>
      <c r="AI153" s="161">
        <f>AK153/сред</f>
        <v>0</v>
      </c>
      <c r="AJ153" s="162"/>
      <c r="AK153" s="154">
        <f>SUM(G154:AG154)</f>
        <v>0</v>
      </c>
      <c r="AL153" s="154"/>
      <c r="AM153" s="213">
        <f>IF(AK153=0,0,CT117)</f>
        <v>0</v>
      </c>
      <c r="AN153" s="155">
        <f>AK153*AM153</f>
        <v>0</v>
      </c>
      <c r="AP153">
        <v>150</v>
      </c>
      <c r="AQ153" s="61" t="s">
        <v>264</v>
      </c>
      <c r="AZ153">
        <v>10</v>
      </c>
      <c r="BD153">
        <v>400</v>
      </c>
      <c r="BR153">
        <v>20</v>
      </c>
      <c r="BW153">
        <v>10</v>
      </c>
      <c r="DE153" s="61">
        <v>400</v>
      </c>
    </row>
    <row r="154" spans="1:109" ht="30.75" customHeight="1">
      <c r="A154" s="195"/>
      <c r="B154" s="195"/>
      <c r="C154" s="195"/>
      <c r="D154" s="195"/>
      <c r="E154" s="196"/>
      <c r="F154" s="72" t="s">
        <v>199</v>
      </c>
      <c r="G154" s="81">
        <f aca="true" t="shared" si="191" ref="G154:N154">IF(G153=0,"",завтракл*G153/1000)</f>
      </c>
      <c r="H154" s="45">
        <f t="shared" si="191"/>
      </c>
      <c r="I154" s="45">
        <f t="shared" si="191"/>
      </c>
      <c r="J154" s="45">
        <f t="shared" si="191"/>
      </c>
      <c r="K154" s="45">
        <f t="shared" si="191"/>
      </c>
      <c r="L154" s="45">
        <f t="shared" si="191"/>
      </c>
      <c r="M154" s="45">
        <f t="shared" si="191"/>
      </c>
      <c r="N154" s="92">
        <f t="shared" si="191"/>
      </c>
      <c r="O154" s="50">
        <f aca="true" t="shared" si="192" ref="O154:V154">IF(O153=0,"",обідл*O153/1000)</f>
      </c>
      <c r="P154" s="45">
        <f t="shared" si="192"/>
      </c>
      <c r="Q154" s="45">
        <f t="shared" si="192"/>
      </c>
      <c r="R154" s="45">
        <f t="shared" si="192"/>
      </c>
      <c r="S154" s="45">
        <f t="shared" si="192"/>
      </c>
      <c r="T154" s="45">
        <f t="shared" si="192"/>
      </c>
      <c r="U154" s="45">
        <f t="shared" si="192"/>
      </c>
      <c r="V154" s="45">
        <f t="shared" si="192"/>
      </c>
      <c r="W154" s="45">
        <f>IF(W153=0,"",полдникл*W153/1000)</f>
      </c>
      <c r="X154" s="45">
        <f>IF(X153=0,"",полдникл*X153/1000)</f>
      </c>
      <c r="Y154" s="92">
        <f>IF(Y153=0,"",полдникл*Y153/1000)</f>
      </c>
      <c r="Z154" s="50">
        <f aca="true" t="shared" si="193" ref="Z154:AG154">IF(Z153=0,"",ужинл*Z153/1000)</f>
      </c>
      <c r="AA154" s="45">
        <f t="shared" si="193"/>
      </c>
      <c r="AB154" s="45">
        <f t="shared" si="193"/>
      </c>
      <c r="AC154" s="45">
        <f t="shared" si="193"/>
      </c>
      <c r="AD154" s="45">
        <f t="shared" si="193"/>
      </c>
      <c r="AE154" s="45">
        <f t="shared" si="193"/>
      </c>
      <c r="AF154" s="45">
        <f t="shared" si="193"/>
      </c>
      <c r="AG154" s="92">
        <f t="shared" si="193"/>
      </c>
      <c r="AH154" s="153"/>
      <c r="AI154" s="161"/>
      <c r="AJ154" s="162"/>
      <c r="AK154" s="154"/>
      <c r="AL154" s="154"/>
      <c r="AM154" s="214"/>
      <c r="AN154" s="156"/>
      <c r="AP154">
        <v>151</v>
      </c>
      <c r="AQ154" s="99" t="s">
        <v>265</v>
      </c>
      <c r="AZ154">
        <v>10</v>
      </c>
      <c r="BD154">
        <v>400</v>
      </c>
      <c r="BO154">
        <v>25</v>
      </c>
      <c r="BW154">
        <v>10</v>
      </c>
      <c r="DE154" s="61">
        <v>400</v>
      </c>
    </row>
    <row r="155" spans="1:109" ht="30.75" customHeight="1">
      <c r="A155" s="167" t="s">
        <v>321</v>
      </c>
      <c r="B155" s="167"/>
      <c r="C155" s="167"/>
      <c r="D155" s="167"/>
      <c r="E155" s="168"/>
      <c r="F155" s="71" t="s">
        <v>198</v>
      </c>
      <c r="G155" s="78">
        <f>VLOOKUP(завтрак1,таб,57,FALSE)</f>
        <v>0</v>
      </c>
      <c r="H155" s="28">
        <f>VLOOKUP(завтрак2,таб,57,FALSE)</f>
        <v>0</v>
      </c>
      <c r="I155" s="28">
        <f>VLOOKUP(завтрак3,таб,57,FALSE)</f>
        <v>0</v>
      </c>
      <c r="J155" s="28">
        <f>VLOOKUP(завтрак4,таб,57,FALSE)</f>
        <v>0</v>
      </c>
      <c r="K155" s="28">
        <f>VLOOKUP(завтрак5,таб,57,FALSE)</f>
        <v>0</v>
      </c>
      <c r="L155" s="28">
        <f>VLOOKUP(завтрак6,таб,57,FALSE)</f>
        <v>0</v>
      </c>
      <c r="M155" s="28">
        <f>VLOOKUP(завтрак7,таб,57,FALSE)</f>
        <v>0</v>
      </c>
      <c r="N155" s="88">
        <f>VLOOKUP(завтрак8,таб,57,FALSE)</f>
        <v>0</v>
      </c>
      <c r="O155" s="36">
        <f>VLOOKUP(обед1,таб,57,FALSE)</f>
        <v>0</v>
      </c>
      <c r="P155" s="35">
        <f>VLOOKUP(обед2,таб,57,FALSE)</f>
        <v>0</v>
      </c>
      <c r="Q155" s="34">
        <f>VLOOKUP(обед3,таб,57,FALSE)</f>
        <v>0</v>
      </c>
      <c r="R155" s="35">
        <f>VLOOKUP(обед4,таб,57,FALSE)</f>
        <v>0</v>
      </c>
      <c r="S155" s="34">
        <f>VLOOKUP(обед5,таб,57,FALSE)</f>
        <v>0</v>
      </c>
      <c r="T155" s="35">
        <f>VLOOKUP(обед6,таб,57,FALSE)</f>
        <v>0</v>
      </c>
      <c r="U155" s="34">
        <f>VLOOKUP(обед7,таб,57,FALSE)</f>
        <v>0</v>
      </c>
      <c r="V155" s="35">
        <f>VLOOKUP(обед8,таб,57,FALSE)</f>
        <v>0</v>
      </c>
      <c r="W155" s="35">
        <f>VLOOKUP(полдник1,таб,57,FALSE)</f>
        <v>0</v>
      </c>
      <c r="X155" s="35">
        <f>VLOOKUP(полдник2,таб,57,FALSE)</f>
        <v>0</v>
      </c>
      <c r="Y155" s="94">
        <f>VLOOKUP(полдник3,таб,57,FALSE)</f>
        <v>0</v>
      </c>
      <c r="Z155" s="36">
        <f>VLOOKUP(ужин1,таб,57,FALSE)</f>
        <v>0</v>
      </c>
      <c r="AA155" s="34">
        <f>VLOOKUP(ужин2,таб,57,FALSE)</f>
        <v>0</v>
      </c>
      <c r="AB155" s="35">
        <f>VLOOKUP(ужин3,таб,57,FALSE)</f>
        <v>0</v>
      </c>
      <c r="AC155" s="34">
        <f>VLOOKUP(ужин4,таб,57,FALSE)</f>
        <v>0</v>
      </c>
      <c r="AD155" s="35">
        <f>VLOOKUP(ужин5,таб,57,FALSE)</f>
        <v>0</v>
      </c>
      <c r="AE155" s="34">
        <f>VLOOKUP(ужин6,таб,57,FALSE)</f>
        <v>0</v>
      </c>
      <c r="AF155" s="35">
        <f>VLOOKUP(ужин7,таб,57,FALSE)</f>
        <v>0</v>
      </c>
      <c r="AG155" s="94">
        <f>VLOOKUP(ужин8,таб,57,FALSE)</f>
        <v>0</v>
      </c>
      <c r="AH155" s="152"/>
      <c r="AI155" s="161">
        <f>AK155/сред</f>
        <v>0</v>
      </c>
      <c r="AJ155" s="162"/>
      <c r="AK155" s="154">
        <f>SUM(G156:AG156)</f>
        <v>0</v>
      </c>
      <c r="AL155" s="154"/>
      <c r="AM155" s="213">
        <f>IF(AK155=0,0,CU117)</f>
        <v>0</v>
      </c>
      <c r="AN155" s="155">
        <f>AK155*AM155</f>
        <v>0</v>
      </c>
      <c r="AP155">
        <v>152</v>
      </c>
      <c r="AQ155" s="61" t="s">
        <v>266</v>
      </c>
      <c r="AZ155">
        <v>10</v>
      </c>
      <c r="BD155">
        <v>400</v>
      </c>
      <c r="BN155">
        <v>20</v>
      </c>
      <c r="BW155">
        <v>10</v>
      </c>
      <c r="DE155" s="61">
        <v>400</v>
      </c>
    </row>
    <row r="156" spans="1:115" ht="30.75" customHeight="1">
      <c r="A156" s="167"/>
      <c r="B156" s="167"/>
      <c r="C156" s="167"/>
      <c r="D156" s="167"/>
      <c r="E156" s="168"/>
      <c r="F156" s="72" t="s">
        <v>199</v>
      </c>
      <c r="G156" s="79">
        <f aca="true" t="shared" si="194" ref="G156:N156">IF(G155=0,"",завтракл*G155/1000)</f>
      </c>
      <c r="H156" s="46">
        <f t="shared" si="194"/>
      </c>
      <c r="I156" s="46">
        <f t="shared" si="194"/>
      </c>
      <c r="J156" s="46">
        <f t="shared" si="194"/>
      </c>
      <c r="K156" s="46">
        <f t="shared" si="194"/>
      </c>
      <c r="L156" s="46">
        <f t="shared" si="194"/>
      </c>
      <c r="M156" s="46">
        <f t="shared" si="194"/>
      </c>
      <c r="N156" s="89">
        <f t="shared" si="194"/>
      </c>
      <c r="O156" s="48">
        <f aca="true" t="shared" si="195" ref="O156:V156">IF(O155=0,"",обідл*O155/1000)</f>
      </c>
      <c r="P156" s="46">
        <f t="shared" si="195"/>
      </c>
      <c r="Q156" s="46">
        <f t="shared" si="195"/>
      </c>
      <c r="R156" s="46">
        <f t="shared" si="195"/>
      </c>
      <c r="S156" s="46">
        <f t="shared" si="195"/>
      </c>
      <c r="T156" s="46">
        <f t="shared" si="195"/>
      </c>
      <c r="U156" s="46">
        <f t="shared" si="195"/>
      </c>
      <c r="V156" s="46">
        <f t="shared" si="195"/>
      </c>
      <c r="W156" s="46">
        <f>IF(W155=0,"",полдникл*W155/1000)</f>
      </c>
      <c r="X156" s="46">
        <f>IF(X155=0,"",полдникл*X155/1000)</f>
      </c>
      <c r="Y156" s="89">
        <f>IF(Y155=0,"",полдникл*Y155/1000)</f>
      </c>
      <c r="Z156" s="48">
        <f aca="true" t="shared" si="196" ref="Z156:AG156">IF(Z155=0,"",ужинл*Z155/1000)</f>
      </c>
      <c r="AA156" s="46">
        <f t="shared" si="196"/>
      </c>
      <c r="AB156" s="46">
        <f t="shared" si="196"/>
      </c>
      <c r="AC156" s="46">
        <f t="shared" si="196"/>
      </c>
      <c r="AD156" s="46">
        <f t="shared" si="196"/>
      </c>
      <c r="AE156" s="46">
        <f t="shared" si="196"/>
      </c>
      <c r="AF156" s="46">
        <f t="shared" si="196"/>
      </c>
      <c r="AG156" s="89">
        <f t="shared" si="196"/>
      </c>
      <c r="AH156" s="153"/>
      <c r="AI156" s="161"/>
      <c r="AJ156" s="162"/>
      <c r="AK156" s="154"/>
      <c r="AL156" s="154"/>
      <c r="AM156" s="214"/>
      <c r="AN156" s="156"/>
      <c r="AP156">
        <v>153</v>
      </c>
      <c r="AQ156" s="99" t="s">
        <v>267</v>
      </c>
      <c r="AZ156">
        <v>10</v>
      </c>
      <c r="DE156" s="61">
        <v>100</v>
      </c>
      <c r="DK156">
        <v>33</v>
      </c>
    </row>
    <row r="157" spans="1:109" ht="25.5">
      <c r="A157" s="191" t="s">
        <v>55</v>
      </c>
      <c r="B157" s="191"/>
      <c r="C157" s="191"/>
      <c r="D157" s="191"/>
      <c r="E157" s="192"/>
      <c r="F157" s="71" t="s">
        <v>198</v>
      </c>
      <c r="G157" s="80">
        <f>VLOOKUP(завтрак1,таб,58,FALSE)</f>
        <v>0</v>
      </c>
      <c r="H157" s="37">
        <f>VLOOKUP(завтрак2,таб,58,FALSE)</f>
        <v>0</v>
      </c>
      <c r="I157" s="38">
        <f>VLOOKUP(завтрак3,таб,58,FALSE)</f>
        <v>0</v>
      </c>
      <c r="J157" s="37">
        <f>VLOOKUP(завтрак4,таб,58,FALSE)</f>
        <v>0</v>
      </c>
      <c r="K157" s="38">
        <f>VLOOKUP(завтрак5,таб,58,FALSE)</f>
        <v>0</v>
      </c>
      <c r="L157" s="38">
        <f>VLOOKUP(завтрак6,таб,58,FALSE)</f>
        <v>0</v>
      </c>
      <c r="M157" s="28">
        <f>VLOOKUP(завтрак7,таб,58,FALSE)</f>
        <v>0</v>
      </c>
      <c r="N157" s="88">
        <f>VLOOKUP(завтрак8,таб,58,FALSE)</f>
        <v>0</v>
      </c>
      <c r="O157" s="39">
        <f>VLOOKUP(обед1,таб,58,FALSE)</f>
        <v>0</v>
      </c>
      <c r="P157" s="38">
        <f>VLOOKUP(обед2,таб,58,FALSE)</f>
        <v>0</v>
      </c>
      <c r="Q157" s="37">
        <f>VLOOKUP(обед3,таб,58,FALSE)</f>
        <v>0</v>
      </c>
      <c r="R157" s="38">
        <f>VLOOKUP(обед4,таб,58,FALSE)</f>
        <v>0</v>
      </c>
      <c r="S157" s="37">
        <f>VLOOKUP(обед5,таб,58,FALSE)</f>
        <v>0</v>
      </c>
      <c r="T157" s="38">
        <f>VLOOKUP(обед6,таб,58,FALSE)</f>
        <v>0</v>
      </c>
      <c r="U157" s="37">
        <f>VLOOKUP(обед7,таб,58,FALSE)</f>
        <v>0</v>
      </c>
      <c r="V157" s="38">
        <f>VLOOKUP(обед8,таб,58,FALSE)</f>
        <v>0</v>
      </c>
      <c r="W157" s="38">
        <f>VLOOKUP(полдник1,таб,58,FALSE)</f>
        <v>0</v>
      </c>
      <c r="X157" s="38">
        <f>VLOOKUP(полдник2,таб,58,FALSE)</f>
        <v>0</v>
      </c>
      <c r="Y157" s="95">
        <f>VLOOKUP(полдник3,таб,58,FALSE)</f>
        <v>0</v>
      </c>
      <c r="Z157" s="39">
        <f>VLOOKUP(ужин1,таб,58,FALSE)</f>
        <v>0</v>
      </c>
      <c r="AA157" s="37">
        <f>VLOOKUP(ужин2,таб,58,FALSE)</f>
        <v>0</v>
      </c>
      <c r="AB157" s="38">
        <f>VLOOKUP(ужин3,таб,58,FALSE)</f>
        <v>0</v>
      </c>
      <c r="AC157" s="37">
        <f>VLOOKUP(ужин4,таб,58,FALSE)</f>
        <v>0</v>
      </c>
      <c r="AD157" s="38">
        <f>VLOOKUP(ужин5,таб,58,FALSE)</f>
        <v>0</v>
      </c>
      <c r="AE157" s="37">
        <f>VLOOKUP(ужин6,таб,58,FALSE)</f>
        <v>0</v>
      </c>
      <c r="AF157" s="38">
        <f>VLOOKUP(ужин7,таб,58,FALSE)</f>
        <v>0</v>
      </c>
      <c r="AG157" s="95">
        <f>VLOOKUP(ужин8,таб,58,FALSE)</f>
        <v>0</v>
      </c>
      <c r="AH157" s="152">
        <v>616015</v>
      </c>
      <c r="AI157" s="161">
        <f>AK157/сред</f>
        <v>0</v>
      </c>
      <c r="AJ157" s="162"/>
      <c r="AK157" s="154">
        <f>SUM(G158:AG158)</f>
        <v>0</v>
      </c>
      <c r="AL157" s="154"/>
      <c r="AM157" s="213">
        <f>IF(AK157=0,0,CV117)</f>
        <v>0</v>
      </c>
      <c r="AN157" s="155">
        <f>AK157*AM157</f>
        <v>0</v>
      </c>
      <c r="AP157">
        <v>154</v>
      </c>
      <c r="AQ157" s="61" t="s">
        <v>268</v>
      </c>
      <c r="AZ157">
        <v>10</v>
      </c>
      <c r="BP157">
        <v>40</v>
      </c>
      <c r="DE157" s="61">
        <v>100</v>
      </c>
    </row>
    <row r="158" spans="1:109" ht="30.75" customHeight="1">
      <c r="A158" s="195"/>
      <c r="B158" s="195"/>
      <c r="C158" s="195"/>
      <c r="D158" s="195"/>
      <c r="E158" s="196"/>
      <c r="F158" s="66" t="s">
        <v>199</v>
      </c>
      <c r="G158" s="81">
        <f aca="true" t="shared" si="197" ref="G158:N158">IF(G157=0,"",завтракл*G157/1000)</f>
      </c>
      <c r="H158" s="49">
        <f t="shared" si="197"/>
      </c>
      <c r="I158" s="45">
        <f t="shared" si="197"/>
      </c>
      <c r="J158" s="49">
        <f t="shared" si="197"/>
      </c>
      <c r="K158" s="45">
        <f t="shared" si="197"/>
      </c>
      <c r="L158" s="45">
        <f t="shared" si="197"/>
      </c>
      <c r="M158" s="46">
        <f t="shared" si="197"/>
      </c>
      <c r="N158" s="89">
        <f t="shared" si="197"/>
      </c>
      <c r="O158" s="50">
        <f aca="true" t="shared" si="198" ref="O158:V158">IF(O157=0,"",обідл*O157/1000)</f>
      </c>
      <c r="P158" s="45">
        <f t="shared" si="198"/>
      </c>
      <c r="Q158" s="49">
        <f t="shared" si="198"/>
      </c>
      <c r="R158" s="45">
        <f t="shared" si="198"/>
      </c>
      <c r="S158" s="49">
        <f t="shared" si="198"/>
      </c>
      <c r="T158" s="45">
        <f t="shared" si="198"/>
      </c>
      <c r="U158" s="49">
        <f t="shared" si="198"/>
      </c>
      <c r="V158" s="45">
        <f t="shared" si="198"/>
      </c>
      <c r="W158" s="45">
        <f>IF(W157=0,"",полдникл*W157/1000)</f>
      </c>
      <c r="X158" s="45">
        <f>IF(X157=0,"",полдникл*X157/1000)</f>
      </c>
      <c r="Y158" s="92">
        <f>IF(Y157=0,"",полдникл*Y157/1000)</f>
      </c>
      <c r="Z158" s="50">
        <f aca="true" t="shared" si="199" ref="Z158:AG158">IF(Z157=0,"",ужинл*Z157/1000)</f>
      </c>
      <c r="AA158" s="49">
        <f t="shared" si="199"/>
      </c>
      <c r="AB158" s="45">
        <f t="shared" si="199"/>
      </c>
      <c r="AC158" s="49">
        <f t="shared" si="199"/>
      </c>
      <c r="AD158" s="45">
        <f t="shared" si="199"/>
      </c>
      <c r="AE158" s="49">
        <f t="shared" si="199"/>
      </c>
      <c r="AF158" s="45">
        <f t="shared" si="199"/>
      </c>
      <c r="AG158" s="92">
        <f t="shared" si="199"/>
      </c>
      <c r="AH158" s="153"/>
      <c r="AI158" s="161"/>
      <c r="AJ158" s="162"/>
      <c r="AK158" s="154"/>
      <c r="AL158" s="154"/>
      <c r="AM158" s="214"/>
      <c r="AN158" s="156"/>
      <c r="AP158">
        <v>155</v>
      </c>
      <c r="AQ158" s="99" t="s">
        <v>269</v>
      </c>
      <c r="AZ158">
        <v>5</v>
      </c>
      <c r="BL158">
        <v>5</v>
      </c>
      <c r="CI158">
        <v>15</v>
      </c>
      <c r="CJ158">
        <v>15</v>
      </c>
      <c r="DE158" s="61">
        <v>50</v>
      </c>
    </row>
    <row r="159" spans="1:109" ht="30.75" customHeight="1">
      <c r="A159" s="167" t="s">
        <v>54</v>
      </c>
      <c r="B159" s="167"/>
      <c r="C159" s="167"/>
      <c r="D159" s="167"/>
      <c r="E159" s="168"/>
      <c r="F159" s="71" t="s">
        <v>198</v>
      </c>
      <c r="G159" s="78">
        <f>VLOOKUP(завтрак1,таб,59,FALSE)</f>
        <v>0</v>
      </c>
      <c r="H159" s="34">
        <f>VLOOKUP(завтрак2,таб,59,FALSE)</f>
        <v>0</v>
      </c>
      <c r="I159" s="35">
        <f>VLOOKUP(завтрак3,таб,59,FALSE)</f>
        <v>0</v>
      </c>
      <c r="J159" s="34">
        <f>VLOOKUP(завтрак4,таб,59,FALSE)</f>
        <v>0</v>
      </c>
      <c r="K159" s="35">
        <f>VLOOKUP(завтрак5,таб,59,FALSE)</f>
        <v>0</v>
      </c>
      <c r="L159" s="35">
        <f>VLOOKUP(завтрак6,таб,59,FALSE)</f>
        <v>0</v>
      </c>
      <c r="M159" s="28">
        <f>VLOOKUP(завтрак7,таб,59,FALSE)</f>
        <v>0</v>
      </c>
      <c r="N159" s="88">
        <f>VLOOKUP(завтрак8,таб,59,FALSE)</f>
        <v>0</v>
      </c>
      <c r="O159" s="36">
        <f>VLOOKUP(обед1,таб,59,FALSE)</f>
        <v>0</v>
      </c>
      <c r="P159" s="35">
        <f>VLOOKUP(обед2,таб,59,FALSE)</f>
        <v>0</v>
      </c>
      <c r="Q159" s="34">
        <f>VLOOKUP(обед3,таб,59,FALSE)</f>
        <v>0</v>
      </c>
      <c r="R159" s="35">
        <f>VLOOKUP(обед4,таб,59,FALSE)</f>
        <v>0</v>
      </c>
      <c r="S159" s="34">
        <f>VLOOKUP(обед5,таб,59,FALSE)</f>
        <v>0</v>
      </c>
      <c r="T159" s="35">
        <f>VLOOKUP(обед6,таб,59,FALSE)</f>
        <v>0</v>
      </c>
      <c r="U159" s="34">
        <f>VLOOKUP(обед7,таб,59,FALSE)</f>
        <v>0</v>
      </c>
      <c r="V159" s="35">
        <f>VLOOKUP(обед8,таб,59,FALSE)</f>
        <v>0</v>
      </c>
      <c r="W159" s="35">
        <f>VLOOKUP(полдник1,таб,59,FALSE)</f>
        <v>0</v>
      </c>
      <c r="X159" s="35">
        <f>VLOOKUP(полдник2,таб,59,FALSE)</f>
        <v>0</v>
      </c>
      <c r="Y159" s="94">
        <f>VLOOKUP(полдник3,таб,59,FALSE)</f>
        <v>0</v>
      </c>
      <c r="Z159" s="36">
        <f>VLOOKUP(ужин1,таб,59,FALSE)</f>
        <v>0</v>
      </c>
      <c r="AA159" s="34">
        <f>VLOOKUP(ужин2,таб,59,FALSE)</f>
        <v>0</v>
      </c>
      <c r="AB159" s="35">
        <f>VLOOKUP(ужин3,таб,59,FALSE)</f>
        <v>0</v>
      </c>
      <c r="AC159" s="34">
        <f>VLOOKUP(ужин4,таб,59,FALSE)</f>
        <v>0</v>
      </c>
      <c r="AD159" s="35">
        <f>VLOOKUP(ужин5,таб,59,FALSE)</f>
        <v>0</v>
      </c>
      <c r="AE159" s="34">
        <f>VLOOKUP(ужин6,таб,59,FALSE)</f>
        <v>0</v>
      </c>
      <c r="AF159" s="35">
        <f>VLOOKUP(ужин7,таб,59,FALSE)</f>
        <v>0</v>
      </c>
      <c r="AG159" s="94">
        <f>VLOOKUP(ужин8,таб,59,FALSE)</f>
        <v>0</v>
      </c>
      <c r="AH159" s="152"/>
      <c r="AI159" s="161">
        <f>AK159/сред</f>
        <v>0</v>
      </c>
      <c r="AJ159" s="162"/>
      <c r="AK159" s="154">
        <f>SUM(G160:AG160)</f>
        <v>0</v>
      </c>
      <c r="AL159" s="154"/>
      <c r="AM159" s="213">
        <f>IF(AK159=0,0,CW117)</f>
        <v>0</v>
      </c>
      <c r="AN159" s="155">
        <f>AK159*AM159</f>
        <v>0</v>
      </c>
      <c r="AP159">
        <v>156</v>
      </c>
      <c r="AQ159" s="61" t="s">
        <v>270</v>
      </c>
      <c r="AS159">
        <v>145</v>
      </c>
      <c r="AZ159">
        <v>10</v>
      </c>
      <c r="BR159">
        <v>56</v>
      </c>
      <c r="CI159">
        <v>10</v>
      </c>
      <c r="CJ159">
        <v>16</v>
      </c>
      <c r="CM159">
        <v>2</v>
      </c>
      <c r="DE159" s="61">
        <v>250</v>
      </c>
    </row>
    <row r="160" spans="1:109" ht="30.75" customHeight="1">
      <c r="A160" s="167"/>
      <c r="B160" s="167"/>
      <c r="C160" s="167"/>
      <c r="D160" s="167"/>
      <c r="E160" s="168"/>
      <c r="F160" s="66" t="s">
        <v>199</v>
      </c>
      <c r="G160" s="79">
        <f aca="true" t="shared" si="200" ref="G160:N160">IF(G159=0,"",завтракл*G159/1000)</f>
      </c>
      <c r="H160" s="47">
        <f t="shared" si="200"/>
      </c>
      <c r="I160" s="46">
        <f t="shared" si="200"/>
      </c>
      <c r="J160" s="47">
        <f t="shared" si="200"/>
      </c>
      <c r="K160" s="46">
        <f t="shared" si="200"/>
      </c>
      <c r="L160" s="46">
        <f t="shared" si="200"/>
      </c>
      <c r="M160" s="46">
        <f t="shared" si="200"/>
      </c>
      <c r="N160" s="89">
        <f t="shared" si="200"/>
      </c>
      <c r="O160" s="48">
        <f aca="true" t="shared" si="201" ref="O160:V160">IF(O159=0,"",обідл*O159/1000)</f>
      </c>
      <c r="P160" s="46">
        <f t="shared" si="201"/>
      </c>
      <c r="Q160" s="47">
        <f t="shared" si="201"/>
      </c>
      <c r="R160" s="46">
        <f t="shared" si="201"/>
      </c>
      <c r="S160" s="47">
        <f t="shared" si="201"/>
      </c>
      <c r="T160" s="46">
        <f t="shared" si="201"/>
      </c>
      <c r="U160" s="47">
        <f t="shared" si="201"/>
      </c>
      <c r="V160" s="46">
        <f t="shared" si="201"/>
      </c>
      <c r="W160" s="46">
        <f>IF(W159=0,"",полдникл*W159/1000)</f>
      </c>
      <c r="X160" s="46">
        <f>IF(X159=0,"",полдникл*X159/1000)</f>
      </c>
      <c r="Y160" s="89">
        <f>IF(Y159=0,"",полдникл*Y159/1000)</f>
      </c>
      <c r="Z160" s="48">
        <f aca="true" t="shared" si="202" ref="Z160:AG160">IF(Z159=0,"",ужинл*Z159/1000)</f>
      </c>
      <c r="AA160" s="47">
        <f t="shared" si="202"/>
      </c>
      <c r="AB160" s="46">
        <f t="shared" si="202"/>
      </c>
      <c r="AC160" s="47">
        <f t="shared" si="202"/>
      </c>
      <c r="AD160" s="46">
        <f t="shared" si="202"/>
      </c>
      <c r="AE160" s="47">
        <f t="shared" si="202"/>
      </c>
      <c r="AF160" s="46">
        <f t="shared" si="202"/>
      </c>
      <c r="AG160" s="89">
        <f t="shared" si="202"/>
      </c>
      <c r="AH160" s="153"/>
      <c r="AI160" s="161"/>
      <c r="AJ160" s="162"/>
      <c r="AK160" s="154"/>
      <c r="AL160" s="154"/>
      <c r="AM160" s="214"/>
      <c r="AN160" s="156"/>
      <c r="AP160">
        <v>157</v>
      </c>
      <c r="AQ160" s="99" t="s">
        <v>271</v>
      </c>
      <c r="AS160">
        <v>87</v>
      </c>
      <c r="AZ160">
        <v>10</v>
      </c>
      <c r="CG160">
        <v>207</v>
      </c>
      <c r="CH160">
        <v>160</v>
      </c>
      <c r="CI160">
        <v>15</v>
      </c>
      <c r="CJ160">
        <v>15</v>
      </c>
      <c r="CM160">
        <v>5</v>
      </c>
      <c r="DE160" s="61">
        <v>250</v>
      </c>
    </row>
    <row r="161" spans="1:109" ht="30.75" customHeight="1">
      <c r="A161" s="191" t="s">
        <v>2</v>
      </c>
      <c r="B161" s="191"/>
      <c r="C161" s="191"/>
      <c r="D161" s="191"/>
      <c r="E161" s="192"/>
      <c r="F161" s="71" t="s">
        <v>198</v>
      </c>
      <c r="G161" s="80">
        <f>VLOOKUP(завтрак1,таб,60,FALSE)</f>
        <v>0</v>
      </c>
      <c r="H161" s="37">
        <f>VLOOKUP(завтрак2,таб,60,FALSE)</f>
        <v>0</v>
      </c>
      <c r="I161" s="38">
        <f>VLOOKUP(завтрак3,таб,60,FALSE)</f>
        <v>0</v>
      </c>
      <c r="J161" s="37">
        <f>VLOOKUP(завтрак4,таб,60,FALSE)</f>
        <v>0</v>
      </c>
      <c r="K161" s="38">
        <f>VLOOKUP(завтрак5,таб,60,FALSE)</f>
        <v>0</v>
      </c>
      <c r="L161" s="38">
        <f>VLOOKUP(завтрак6,таб,60,FALSE)</f>
        <v>1</v>
      </c>
      <c r="M161" s="28">
        <f>VLOOKUP(завтрак7,таб,60,FALSE)</f>
        <v>0</v>
      </c>
      <c r="N161" s="88">
        <f>VLOOKUP(завтрак8,таб,60,FALSE)</f>
        <v>0</v>
      </c>
      <c r="O161" s="39">
        <f>VLOOKUP(обед1,таб,60,FALSE)</f>
        <v>0</v>
      </c>
      <c r="P161" s="38">
        <f>VLOOKUP(обед2,таб,60,FALSE)</f>
        <v>0</v>
      </c>
      <c r="Q161" s="37">
        <f>VLOOKUP(обед3,таб,60,FALSE)</f>
        <v>0</v>
      </c>
      <c r="R161" s="38">
        <f>VLOOKUP(обед4,таб,60,FALSE)</f>
        <v>0</v>
      </c>
      <c r="S161" s="37">
        <f>VLOOKUP(обед5,таб,60,FALSE)</f>
        <v>0</v>
      </c>
      <c r="T161" s="38">
        <f>VLOOKUP(обед6,таб,60,FALSE)</f>
        <v>0</v>
      </c>
      <c r="U161" s="37">
        <f>VLOOKUP(обед7,таб,60,FALSE)</f>
        <v>0</v>
      </c>
      <c r="V161" s="38">
        <f>VLOOKUP(обед8,таб,60,FALSE)</f>
        <v>0</v>
      </c>
      <c r="W161" s="38">
        <f>VLOOKUP(полдник1,таб,60,FALSE)</f>
        <v>0</v>
      </c>
      <c r="X161" s="38">
        <f>VLOOKUP(полдник2,таб,60,FALSE)</f>
        <v>0</v>
      </c>
      <c r="Y161" s="95">
        <f>VLOOKUP(полдник3,таб,60,FALSE)</f>
        <v>0</v>
      </c>
      <c r="Z161" s="39">
        <f>VLOOKUP(ужин1,таб,60,FALSE)</f>
        <v>0</v>
      </c>
      <c r="AA161" s="37">
        <f>VLOOKUP(ужин2,таб,60,FALSE)</f>
        <v>0</v>
      </c>
      <c r="AB161" s="38">
        <f>VLOOKUP(ужин3,таб,60,FALSE)</f>
        <v>0</v>
      </c>
      <c r="AC161" s="37">
        <f>VLOOKUP(ужин4,таб,60,FALSE)</f>
        <v>0</v>
      </c>
      <c r="AD161" s="38">
        <f>VLOOKUP(ужин5,таб,60,FALSE)</f>
        <v>0</v>
      </c>
      <c r="AE161" s="37">
        <f>VLOOKUP(ужин6,таб,60,FALSE)</f>
        <v>0</v>
      </c>
      <c r="AF161" s="38">
        <f>VLOOKUP(ужин7,таб,60,FALSE)</f>
        <v>0</v>
      </c>
      <c r="AG161" s="95">
        <f>VLOOKUP(ужин8,таб,60,FALSE)</f>
        <v>0</v>
      </c>
      <c r="AH161" s="152">
        <v>616022</v>
      </c>
      <c r="AI161" s="161">
        <f>AK161/сред</f>
        <v>0.001</v>
      </c>
      <c r="AJ161" s="162"/>
      <c r="AK161" s="154">
        <f>SUM(G162:AG162)</f>
        <v>0.016</v>
      </c>
      <c r="AL161" s="154"/>
      <c r="AM161" s="213">
        <f>IF(AK161=0,0,CX117)</f>
        <v>306</v>
      </c>
      <c r="AN161" s="155">
        <f>AK161*AM161</f>
        <v>4.896</v>
      </c>
      <c r="AP161">
        <v>158</v>
      </c>
      <c r="AQ161" s="61" t="s">
        <v>281</v>
      </c>
      <c r="AS161">
        <v>87</v>
      </c>
      <c r="AZ161">
        <v>10</v>
      </c>
      <c r="BR161">
        <v>25</v>
      </c>
      <c r="CH161">
        <v>159</v>
      </c>
      <c r="CI161">
        <v>15</v>
      </c>
      <c r="CJ161">
        <v>15</v>
      </c>
      <c r="CM161">
        <v>10</v>
      </c>
      <c r="DE161" s="61">
        <v>200</v>
      </c>
    </row>
    <row r="162" spans="1:109" ht="30.75" customHeight="1">
      <c r="A162" s="195"/>
      <c r="B162" s="195"/>
      <c r="C162" s="195"/>
      <c r="D162" s="195"/>
      <c r="E162" s="196"/>
      <c r="F162" s="66" t="s">
        <v>199</v>
      </c>
      <c r="G162" s="81">
        <f aca="true" t="shared" si="203" ref="G162:N162">IF(G161=0,"",завтракл*G161/1000)</f>
      </c>
      <c r="H162" s="49">
        <f t="shared" si="203"/>
      </c>
      <c r="I162" s="45">
        <f t="shared" si="203"/>
      </c>
      <c r="J162" s="49">
        <f t="shared" si="203"/>
      </c>
      <c r="K162" s="45">
        <f t="shared" si="203"/>
      </c>
      <c r="L162" s="45">
        <f t="shared" si="203"/>
        <v>0.016</v>
      </c>
      <c r="M162" s="46">
        <f t="shared" si="203"/>
      </c>
      <c r="N162" s="89">
        <f t="shared" si="203"/>
      </c>
      <c r="O162" s="50">
        <f aca="true" t="shared" si="204" ref="O162:V162">IF(O161=0,"",обідл*O161/1000)</f>
      </c>
      <c r="P162" s="45">
        <f t="shared" si="204"/>
      </c>
      <c r="Q162" s="49">
        <f t="shared" si="204"/>
      </c>
      <c r="R162" s="45">
        <f t="shared" si="204"/>
      </c>
      <c r="S162" s="49">
        <f t="shared" si="204"/>
      </c>
      <c r="T162" s="45">
        <f t="shared" si="204"/>
      </c>
      <c r="U162" s="49">
        <f t="shared" si="204"/>
      </c>
      <c r="V162" s="45">
        <f t="shared" si="204"/>
      </c>
      <c r="W162" s="45">
        <f>IF(W161=0,"",полдникл*W161/1000)</f>
      </c>
      <c r="X162" s="45">
        <f>IF(X161=0,"",полдникл*X161/1000)</f>
      </c>
      <c r="Y162" s="92">
        <f>IF(Y161=0,"",полдникл*Y161/1000)</f>
      </c>
      <c r="Z162" s="50">
        <f aca="true" t="shared" si="205" ref="Z162:AG162">IF(Z161=0,"",ужинл*Z161/1000)</f>
      </c>
      <c r="AA162" s="49">
        <f t="shared" si="205"/>
      </c>
      <c r="AB162" s="45">
        <f t="shared" si="205"/>
      </c>
      <c r="AC162" s="49">
        <f t="shared" si="205"/>
      </c>
      <c r="AD162" s="45">
        <f t="shared" si="205"/>
      </c>
      <c r="AE162" s="49">
        <f t="shared" si="205"/>
      </c>
      <c r="AF162" s="45">
        <f t="shared" si="205"/>
      </c>
      <c r="AG162" s="92">
        <f t="shared" si="205"/>
      </c>
      <c r="AH162" s="153"/>
      <c r="AI162" s="161"/>
      <c r="AJ162" s="162"/>
      <c r="AK162" s="154"/>
      <c r="AL162" s="154"/>
      <c r="AM162" s="214"/>
      <c r="AN162" s="156"/>
      <c r="AP162">
        <v>159</v>
      </c>
      <c r="AQ162" s="99" t="s">
        <v>272</v>
      </c>
      <c r="AS162">
        <v>87</v>
      </c>
      <c r="AZ162">
        <v>10</v>
      </c>
      <c r="CG162">
        <v>310</v>
      </c>
      <c r="CI162">
        <v>15</v>
      </c>
      <c r="CJ162">
        <v>15</v>
      </c>
      <c r="DE162" s="61">
        <v>200</v>
      </c>
    </row>
    <row r="163" spans="1:109" ht="30.75" customHeight="1">
      <c r="A163" s="167" t="s">
        <v>56</v>
      </c>
      <c r="B163" s="167"/>
      <c r="C163" s="167"/>
      <c r="D163" s="167"/>
      <c r="E163" s="168"/>
      <c r="F163" s="71" t="s">
        <v>198</v>
      </c>
      <c r="G163" s="78">
        <f>VLOOKUP(завтрак1,таб,61,FALSE)</f>
        <v>0</v>
      </c>
      <c r="H163" s="34">
        <f>VLOOKUP(завтрак2,таб,61,FALSE)</f>
        <v>0</v>
      </c>
      <c r="I163" s="35">
        <f>VLOOKUP(завтрак3,таб,61,FALSE)</f>
        <v>0</v>
      </c>
      <c r="J163" s="34">
        <f>VLOOKUP(завтрак4,таб,61,FALSE)</f>
        <v>0</v>
      </c>
      <c r="K163" s="35">
        <f>VLOOKUP(завтрак5,таб,61,FALSE)</f>
        <v>0</v>
      </c>
      <c r="L163" s="35">
        <f>VLOOKUP(завтрак6,таб,61,FALSE)</f>
        <v>0</v>
      </c>
      <c r="M163" s="28">
        <f>VLOOKUP(завтрак7,таб,61,FALSE)</f>
        <v>0</v>
      </c>
      <c r="N163" s="88">
        <f>VLOOKUP(завтрак8,таб,61,FALSE)</f>
        <v>0</v>
      </c>
      <c r="O163" s="36">
        <f>VLOOKUP(обед1,таб,61,FALSE)</f>
        <v>0</v>
      </c>
      <c r="P163" s="35">
        <f>VLOOKUP(обед2,таб,61,FALSE)</f>
        <v>0</v>
      </c>
      <c r="Q163" s="34">
        <f>VLOOKUP(обед3,таб,61,FALSE)</f>
        <v>0</v>
      </c>
      <c r="R163" s="35">
        <f>VLOOKUP(обед4,таб,61,FALSE)</f>
        <v>0</v>
      </c>
      <c r="S163" s="34">
        <f>VLOOKUP(обед5,таб,61,FALSE)</f>
        <v>0</v>
      </c>
      <c r="T163" s="35">
        <f>VLOOKUP(обед6,таб,61,FALSE)</f>
        <v>0</v>
      </c>
      <c r="U163" s="34">
        <f>VLOOKUP(обед7,таб,61,FALSE)</f>
        <v>0</v>
      </c>
      <c r="V163" s="35">
        <f>VLOOKUP(обед8,таб,61,FALSE)</f>
        <v>0</v>
      </c>
      <c r="W163" s="35">
        <f>VLOOKUP(полдник1,таб,61,FALSE)</f>
        <v>0</v>
      </c>
      <c r="X163" s="35">
        <f>VLOOKUP(полдник2,таб,61,FALSE)</f>
        <v>0</v>
      </c>
      <c r="Y163" s="94">
        <f>VLOOKUP(полдник3,таб,61,FALSE)</f>
        <v>0</v>
      </c>
      <c r="Z163" s="36">
        <f>VLOOKUP(ужин1,таб,61,FALSE)</f>
        <v>0</v>
      </c>
      <c r="AA163" s="34">
        <f>VLOOKUP(ужин2,таб,61,FALSE)</f>
        <v>0</v>
      </c>
      <c r="AB163" s="35">
        <f>VLOOKUP(ужин3,таб,61,FALSE)</f>
        <v>0</v>
      </c>
      <c r="AC163" s="34">
        <f>VLOOKUP(ужин4,таб,61,FALSE)</f>
        <v>0</v>
      </c>
      <c r="AD163" s="35">
        <f>VLOOKUP(ужин5,таб,61,FALSE)</f>
        <v>0</v>
      </c>
      <c r="AE163" s="34">
        <f>VLOOKUP(ужин6,таб,61,FALSE)</f>
        <v>0</v>
      </c>
      <c r="AF163" s="35">
        <f>VLOOKUP(ужин7,таб,61,FALSE)</f>
        <v>0</v>
      </c>
      <c r="AG163" s="94">
        <f>VLOOKUP(ужин8,таб,61,FALSE)</f>
        <v>0</v>
      </c>
      <c r="AH163" s="152"/>
      <c r="AI163" s="161">
        <v>0.008</v>
      </c>
      <c r="AJ163" s="162"/>
      <c r="AK163" s="154">
        <f>AI163*сред</f>
        <v>0.128</v>
      </c>
      <c r="AL163" s="154"/>
      <c r="AM163" s="213">
        <f>IF(AK163=0,0,CY117)</f>
        <v>6.33</v>
      </c>
      <c r="AN163" s="155">
        <f>AK163*AM163</f>
        <v>0.8102400000000001</v>
      </c>
      <c r="AP163">
        <v>160</v>
      </c>
      <c r="AQ163" s="61" t="s">
        <v>273</v>
      </c>
      <c r="AS163">
        <v>109</v>
      </c>
      <c r="AZ163">
        <v>5</v>
      </c>
      <c r="BG163">
        <v>10</v>
      </c>
      <c r="BL163">
        <v>5</v>
      </c>
      <c r="CI163">
        <v>15</v>
      </c>
      <c r="CJ163">
        <v>15</v>
      </c>
      <c r="CM163">
        <v>5</v>
      </c>
      <c r="DE163" s="61">
        <v>100</v>
      </c>
    </row>
    <row r="164" spans="1:109" ht="30.75" customHeight="1">
      <c r="A164" s="167"/>
      <c r="B164" s="167"/>
      <c r="C164" s="167"/>
      <c r="D164" s="167"/>
      <c r="E164" s="168"/>
      <c r="F164" s="66" t="s">
        <v>199</v>
      </c>
      <c r="G164" s="79">
        <f aca="true" t="shared" si="206" ref="G164:N164">IF(G163=0,"",завтракл*G163/1000)</f>
      </c>
      <c r="H164" s="47">
        <f t="shared" si="206"/>
      </c>
      <c r="I164" s="46">
        <f t="shared" si="206"/>
      </c>
      <c r="J164" s="47">
        <f t="shared" si="206"/>
      </c>
      <c r="K164" s="46">
        <f t="shared" si="206"/>
      </c>
      <c r="L164" s="46">
        <f t="shared" si="206"/>
      </c>
      <c r="M164" s="46">
        <f t="shared" si="206"/>
      </c>
      <c r="N164" s="89">
        <f t="shared" si="206"/>
      </c>
      <c r="O164" s="48">
        <f aca="true" t="shared" si="207" ref="O164:V164">IF(O163=0,"",обідл*O163/1000)</f>
      </c>
      <c r="P164" s="46">
        <f t="shared" si="207"/>
      </c>
      <c r="Q164" s="47">
        <f t="shared" si="207"/>
      </c>
      <c r="R164" s="46">
        <f t="shared" si="207"/>
      </c>
      <c r="S164" s="47">
        <f t="shared" si="207"/>
      </c>
      <c r="T164" s="46">
        <f t="shared" si="207"/>
      </c>
      <c r="U164" s="47">
        <f t="shared" si="207"/>
      </c>
      <c r="V164" s="46">
        <f t="shared" si="207"/>
      </c>
      <c r="W164" s="46">
        <f>IF(W163=0,"",полдникл*W163/1000)</f>
      </c>
      <c r="X164" s="46">
        <f>IF(X163=0,"",полдникл*X163/1000)</f>
      </c>
      <c r="Y164" s="89">
        <f>IF(Y163=0,"",полдникл*Y163/1000)</f>
      </c>
      <c r="Z164" s="48">
        <f aca="true" t="shared" si="208" ref="Z164:AG164">IF(Z163=0,"",ужинл*Z163/1000)</f>
      </c>
      <c r="AA164" s="47">
        <f t="shared" si="208"/>
      </c>
      <c r="AB164" s="46">
        <f t="shared" si="208"/>
      </c>
      <c r="AC164" s="47">
        <f t="shared" si="208"/>
      </c>
      <c r="AD164" s="46">
        <f t="shared" si="208"/>
      </c>
      <c r="AE164" s="47">
        <f t="shared" si="208"/>
      </c>
      <c r="AF164" s="46">
        <f t="shared" si="208"/>
      </c>
      <c r="AG164" s="89">
        <f t="shared" si="208"/>
      </c>
      <c r="AH164" s="153"/>
      <c r="AI164" s="161"/>
      <c r="AJ164" s="162"/>
      <c r="AK164" s="154"/>
      <c r="AL164" s="154"/>
      <c r="AM164" s="214"/>
      <c r="AN164" s="156"/>
      <c r="AP164">
        <v>161</v>
      </c>
      <c r="AQ164" s="99" t="s">
        <v>274</v>
      </c>
      <c r="AR164">
        <v>107</v>
      </c>
      <c r="AZ164">
        <v>5</v>
      </c>
      <c r="CI164">
        <v>15</v>
      </c>
      <c r="CJ164">
        <v>15</v>
      </c>
      <c r="DE164" s="61">
        <v>70</v>
      </c>
    </row>
    <row r="165" spans="1:109" ht="30.75" customHeight="1">
      <c r="A165" s="191" t="s">
        <v>57</v>
      </c>
      <c r="B165" s="191"/>
      <c r="C165" s="191"/>
      <c r="D165" s="191"/>
      <c r="E165" s="192"/>
      <c r="F165" s="71" t="s">
        <v>198</v>
      </c>
      <c r="G165" s="80">
        <f>VLOOKUP(завтрак1,таб,62,FALSE)</f>
        <v>0</v>
      </c>
      <c r="H165" s="37">
        <f>VLOOKUP(завтрак2,таб,62,FALSE)</f>
        <v>0</v>
      </c>
      <c r="I165" s="38">
        <f>VLOOKUP(завтрак3,таб,62,FALSE)</f>
        <v>0</v>
      </c>
      <c r="J165" s="37">
        <f>VLOOKUP(завтрак4,таб,62,FALSE)</f>
        <v>0</v>
      </c>
      <c r="K165" s="38">
        <f>VLOOKUP(завтрак5,таб,62,FALSE)</f>
        <v>0</v>
      </c>
      <c r="L165" s="38">
        <f>VLOOKUP(завтрак6,таб,62,FALSE)</f>
        <v>0</v>
      </c>
      <c r="M165" s="28">
        <f>VLOOKUP(завтрак7,таб,62,FALSE)</f>
        <v>0</v>
      </c>
      <c r="N165" s="88">
        <f>VLOOKUP(завтрак8,таб,62,FALSE)</f>
        <v>0</v>
      </c>
      <c r="O165" s="39">
        <f>VLOOKUP(обед1,таб,62,FALSE)</f>
        <v>0</v>
      </c>
      <c r="P165" s="38">
        <f>VLOOKUP(обед2,таб,62,FALSE)</f>
        <v>0</v>
      </c>
      <c r="Q165" s="37">
        <f>VLOOKUP(обед3,таб,62,FALSE)</f>
        <v>0</v>
      </c>
      <c r="R165" s="38">
        <f>VLOOKUP(обед4,таб,62,FALSE)</f>
        <v>0</v>
      </c>
      <c r="S165" s="37">
        <f>VLOOKUP(обед5,таб,62,FALSE)</f>
        <v>0</v>
      </c>
      <c r="T165" s="38">
        <f>VLOOKUP(обед6,таб,62,FALSE)</f>
        <v>0</v>
      </c>
      <c r="U165" s="37">
        <f>VLOOKUP(обед7,таб,62,FALSE)</f>
        <v>0</v>
      </c>
      <c r="V165" s="38">
        <f>VLOOKUP(обед8,таб,62,FALSE)</f>
        <v>0</v>
      </c>
      <c r="W165" s="38">
        <f>VLOOKUP(полдник1,таб,62,FALSE)</f>
        <v>0</v>
      </c>
      <c r="X165" s="38">
        <f>VLOOKUP(полдник2,таб,62,FALSE)</f>
        <v>0</v>
      </c>
      <c r="Y165" s="95">
        <f>VLOOKUP(полдник3,таб,62,FALSE)</f>
        <v>0</v>
      </c>
      <c r="Z165" s="39">
        <f>VLOOKUP(ужин1,таб,62,FALSE)</f>
        <v>0</v>
      </c>
      <c r="AA165" s="37">
        <f>VLOOKUP(ужин2,таб,62,FALSE)</f>
        <v>0</v>
      </c>
      <c r="AB165" s="38"/>
      <c r="AC165" s="37">
        <f>VLOOKUP(ужин4,таб,62,FALSE)</f>
        <v>0</v>
      </c>
      <c r="AD165" s="38">
        <f>VLOOKUP(ужин5,таб,62,FALSE)</f>
        <v>0</v>
      </c>
      <c r="AE165" s="37">
        <f>VLOOKUP(ужин6,таб,62,FALSE)</f>
        <v>0</v>
      </c>
      <c r="AF165" s="38">
        <f>VLOOKUP(ужин7,таб,62,FALSE)</f>
        <v>0</v>
      </c>
      <c r="AG165" s="95">
        <f>VLOOKUP(ужин8,таб,62,FALSE)</f>
        <v>0</v>
      </c>
      <c r="AH165" s="152"/>
      <c r="AI165" s="161">
        <f>AK165/сред</f>
        <v>0</v>
      </c>
      <c r="AJ165" s="162"/>
      <c r="AK165" s="154">
        <f>SUM(G166:AG166)</f>
        <v>0</v>
      </c>
      <c r="AL165" s="154"/>
      <c r="AM165" s="213">
        <f>IF(AK165=0,0,CZ117)</f>
        <v>0</v>
      </c>
      <c r="AN165" s="155">
        <f>AK165*AM165</f>
        <v>0</v>
      </c>
      <c r="AP165">
        <v>162</v>
      </c>
      <c r="AQ165" s="61" t="s">
        <v>275</v>
      </c>
      <c r="AT165">
        <v>130</v>
      </c>
      <c r="CI165">
        <v>15</v>
      </c>
      <c r="CJ165">
        <v>15</v>
      </c>
      <c r="DE165" s="61" t="s">
        <v>300</v>
      </c>
    </row>
    <row r="166" spans="1:109" ht="30.75" customHeight="1">
      <c r="A166" s="195"/>
      <c r="B166" s="195"/>
      <c r="C166" s="195"/>
      <c r="D166" s="195"/>
      <c r="E166" s="196"/>
      <c r="F166" s="66" t="s">
        <v>199</v>
      </c>
      <c r="G166" s="81">
        <f aca="true" t="shared" si="209" ref="G166:N166">IF(G165=0,"",завтракл*G165/1000)</f>
      </c>
      <c r="H166" s="49">
        <f t="shared" si="209"/>
      </c>
      <c r="I166" s="45">
        <f t="shared" si="209"/>
      </c>
      <c r="J166" s="49">
        <f t="shared" si="209"/>
      </c>
      <c r="K166" s="45">
        <f t="shared" si="209"/>
      </c>
      <c r="L166" s="45">
        <f t="shared" si="209"/>
      </c>
      <c r="M166" s="46">
        <f t="shared" si="209"/>
      </c>
      <c r="N166" s="89">
        <f t="shared" si="209"/>
      </c>
      <c r="O166" s="50">
        <f aca="true" t="shared" si="210" ref="O166:V166">IF(O165=0,"",обідл*O165/1000)</f>
      </c>
      <c r="P166" s="45">
        <f t="shared" si="210"/>
      </c>
      <c r="Q166" s="49">
        <f t="shared" si="210"/>
      </c>
      <c r="R166" s="45">
        <f t="shared" si="210"/>
      </c>
      <c r="S166" s="49">
        <f t="shared" si="210"/>
      </c>
      <c r="T166" s="45">
        <f t="shared" si="210"/>
      </c>
      <c r="U166" s="49">
        <f t="shared" si="210"/>
      </c>
      <c r="V166" s="45">
        <f t="shared" si="210"/>
      </c>
      <c r="W166" s="45">
        <f>IF(W165=0,"",полдникл*W165/1000)</f>
      </c>
      <c r="X166" s="45">
        <f>IF(X165=0,"",полдникл*X165/1000)</f>
      </c>
      <c r="Y166" s="92">
        <f>IF(Y165=0,"",полдникл*Y165/1000)</f>
      </c>
      <c r="Z166" s="50">
        <f aca="true" t="shared" si="211" ref="Z166:AG166">IF(Z165=0,"",ужинл*Z165/1000)</f>
      </c>
      <c r="AA166" s="49">
        <f t="shared" si="211"/>
      </c>
      <c r="AB166" s="45"/>
      <c r="AC166" s="49">
        <f t="shared" si="211"/>
      </c>
      <c r="AD166" s="45">
        <f t="shared" si="211"/>
      </c>
      <c r="AE166" s="49">
        <f t="shared" si="211"/>
      </c>
      <c r="AF166" s="45">
        <f t="shared" si="211"/>
      </c>
      <c r="AG166" s="92">
        <f t="shared" si="211"/>
      </c>
      <c r="AH166" s="153"/>
      <c r="AI166" s="161"/>
      <c r="AJ166" s="162"/>
      <c r="AK166" s="154"/>
      <c r="AL166" s="154"/>
      <c r="AM166" s="214"/>
      <c r="AN166" s="156"/>
      <c r="AP166">
        <v>163</v>
      </c>
      <c r="AQ166" s="99" t="s">
        <v>276</v>
      </c>
      <c r="BC166">
        <v>10</v>
      </c>
      <c r="BL166">
        <v>57</v>
      </c>
      <c r="BW166">
        <v>10</v>
      </c>
      <c r="CZ166">
        <v>1</v>
      </c>
      <c r="DE166" s="61">
        <v>100</v>
      </c>
    </row>
    <row r="167" spans="1:113" ht="30.75" customHeight="1">
      <c r="A167" s="167" t="s">
        <v>58</v>
      </c>
      <c r="B167" s="167"/>
      <c r="C167" s="167"/>
      <c r="D167" s="167"/>
      <c r="E167" s="168"/>
      <c r="F167" s="71" t="s">
        <v>198</v>
      </c>
      <c r="G167" s="78">
        <f>VLOOKUP(завтрак1,таб,63,FALSE)</f>
        <v>0</v>
      </c>
      <c r="H167" s="34">
        <f>VLOOKUP(завтрак2,таб,63,FALSE)</f>
        <v>0</v>
      </c>
      <c r="I167" s="35">
        <f>VLOOKUP(завтрак3,таб,63,FALSE)</f>
        <v>0</v>
      </c>
      <c r="J167" s="34">
        <f>VLOOKUP(завтрак4,таб,63,FALSE)</f>
        <v>0</v>
      </c>
      <c r="K167" s="35">
        <f>VLOOKUP(завтрак5,таб,63,FALSE)</f>
        <v>0</v>
      </c>
      <c r="L167" s="35">
        <f>VLOOKUP(завтрак6,таб,63,FALSE)</f>
        <v>0</v>
      </c>
      <c r="M167" s="28">
        <f>VLOOKUP(завтрак7,таб,63,FALSE)</f>
        <v>0</v>
      </c>
      <c r="N167" s="88">
        <f>VLOOKUP(завтрак8,таб,63,FALSE)</f>
        <v>0</v>
      </c>
      <c r="O167" s="36">
        <f>VLOOKUP(обед1,таб,63,FALSE)</f>
        <v>0</v>
      </c>
      <c r="P167" s="35">
        <f>VLOOKUP(обед2,таб,63,FALSE)</f>
        <v>0</v>
      </c>
      <c r="Q167" s="34">
        <f>VLOOKUP(обед3,таб,63,FALSE)</f>
        <v>0</v>
      </c>
      <c r="R167" s="35">
        <f>VLOOKUP(обед4,таб,63,FALSE)</f>
        <v>0</v>
      </c>
      <c r="S167" s="34">
        <f>VLOOKUP(обед5,таб,63,FALSE)</f>
        <v>0</v>
      </c>
      <c r="T167" s="35">
        <f>VLOOKUP(обед6,таб,63,FALSE)</f>
        <v>0</v>
      </c>
      <c r="U167" s="34">
        <f>VLOOKUP(обед7,таб,63,FALSE)</f>
        <v>0</v>
      </c>
      <c r="V167" s="35">
        <f>VLOOKUP(обед8,таб,63,FALSE)</f>
        <v>0</v>
      </c>
      <c r="W167" s="35">
        <f>VLOOKUP(полдник1,таб,63,FALSE)</f>
        <v>0</v>
      </c>
      <c r="X167" s="35">
        <f>VLOOKUP(полдник2,таб,63,FALSE)</f>
        <v>0</v>
      </c>
      <c r="Y167" s="94">
        <f>VLOOKUP(полдник3,таб,63,FALSE)</f>
        <v>0</v>
      </c>
      <c r="Z167" s="36">
        <f>VLOOKUP(ужин1,таб,63,FALSE)</f>
        <v>0</v>
      </c>
      <c r="AA167" s="34">
        <f>VLOOKUP(ужин2,таб,63,FALSE)</f>
        <v>0</v>
      </c>
      <c r="AB167" s="35">
        <f>VLOOKUP(ужин3,таб,63,FALSE)</f>
        <v>0</v>
      </c>
      <c r="AC167" s="34">
        <f>VLOOKUP(ужин4,таб,63,FALSE)</f>
        <v>0</v>
      </c>
      <c r="AD167" s="35">
        <f>VLOOKUP(ужин5,таб,63,FALSE)</f>
        <v>0</v>
      </c>
      <c r="AE167" s="34">
        <f>VLOOKUP(ужин6,таб,63,FALSE)</f>
        <v>0</v>
      </c>
      <c r="AF167" s="35">
        <f>VLOOKUP(ужин7,таб,63,FALSE)</f>
        <v>0</v>
      </c>
      <c r="AG167" s="94">
        <f>VLOOKUP(ужин8,таб,63,FALSE)</f>
        <v>0</v>
      </c>
      <c r="AH167" s="152"/>
      <c r="AI167" s="161">
        <f>AK167/сред</f>
        <v>0</v>
      </c>
      <c r="AJ167" s="162"/>
      <c r="AK167" s="154">
        <f>SUM(G168:AG168)</f>
        <v>0</v>
      </c>
      <c r="AL167" s="154"/>
      <c r="AM167" s="213">
        <f>IF(AK167=0,0,DA117)</f>
        <v>0</v>
      </c>
      <c r="AN167" s="155">
        <f>AK167*AM167</f>
        <v>0</v>
      </c>
      <c r="AP167">
        <v>164</v>
      </c>
      <c r="AQ167" s="61" t="s">
        <v>277</v>
      </c>
      <c r="AX167">
        <v>120</v>
      </c>
      <c r="BC167">
        <v>3</v>
      </c>
      <c r="BJ167">
        <v>0.1</v>
      </c>
      <c r="CQ167">
        <v>14</v>
      </c>
      <c r="DE167" s="61">
        <v>80</v>
      </c>
      <c r="DI167">
        <v>5</v>
      </c>
    </row>
    <row r="168" spans="1:109" ht="30.75" customHeight="1">
      <c r="A168" s="167"/>
      <c r="B168" s="167"/>
      <c r="C168" s="167"/>
      <c r="D168" s="167"/>
      <c r="E168" s="168"/>
      <c r="F168" s="66" t="s">
        <v>199</v>
      </c>
      <c r="G168" s="83">
        <f aca="true" t="shared" si="212" ref="G168:N168">IF(G167=0,"",завтракл*G167/1000)</f>
      </c>
      <c r="H168" s="52">
        <f t="shared" si="212"/>
      </c>
      <c r="I168" s="51">
        <f t="shared" si="212"/>
      </c>
      <c r="J168" s="52">
        <f t="shared" si="212"/>
      </c>
      <c r="K168" s="51">
        <f t="shared" si="212"/>
      </c>
      <c r="L168" s="51">
        <f t="shared" si="212"/>
      </c>
      <c r="M168" s="51">
        <f t="shared" si="212"/>
      </c>
      <c r="N168" s="91">
        <f t="shared" si="212"/>
      </c>
      <c r="O168" s="53">
        <f aca="true" t="shared" si="213" ref="O168:V168">IF(O167=0,"",обідл*O167/1000)</f>
      </c>
      <c r="P168" s="51">
        <f t="shared" si="213"/>
      </c>
      <c r="Q168" s="52">
        <f t="shared" si="213"/>
      </c>
      <c r="R168" s="51">
        <f t="shared" si="213"/>
      </c>
      <c r="S168" s="52">
        <f t="shared" si="213"/>
      </c>
      <c r="T168" s="51">
        <f t="shared" si="213"/>
      </c>
      <c r="U168" s="52">
        <f t="shared" si="213"/>
      </c>
      <c r="V168" s="51">
        <f t="shared" si="213"/>
      </c>
      <c r="W168" s="51">
        <f>IF(W167=0,"",полдникл*W167/1000)</f>
      </c>
      <c r="X168" s="51">
        <f>IF(X167=0,"",полдникл*X167/1000)</f>
      </c>
      <c r="Y168" s="91">
        <f>IF(Y167=0,"",полдникл*Y167/1000)</f>
      </c>
      <c r="Z168" s="53">
        <f aca="true" t="shared" si="214" ref="Z168:AG168">IF(Z167=0,"",ужинл*Z167/1000)</f>
      </c>
      <c r="AA168" s="52">
        <f t="shared" si="214"/>
      </c>
      <c r="AB168" s="51">
        <f t="shared" si="214"/>
      </c>
      <c r="AC168" s="52">
        <f t="shared" si="214"/>
      </c>
      <c r="AD168" s="51">
        <f t="shared" si="214"/>
      </c>
      <c r="AE168" s="52">
        <f t="shared" si="214"/>
      </c>
      <c r="AF168" s="51">
        <f t="shared" si="214"/>
      </c>
      <c r="AG168" s="91">
        <f t="shared" si="214"/>
      </c>
      <c r="AH168" s="153"/>
      <c r="AI168" s="161"/>
      <c r="AJ168" s="162"/>
      <c r="AK168" s="154"/>
      <c r="AL168" s="154"/>
      <c r="AM168" s="214"/>
      <c r="AN168" s="156"/>
      <c r="AP168">
        <v>165</v>
      </c>
      <c r="AQ168" s="99" t="s">
        <v>278</v>
      </c>
      <c r="AS168">
        <v>60</v>
      </c>
      <c r="AZ168">
        <v>2</v>
      </c>
      <c r="BD168">
        <v>11</v>
      </c>
      <c r="CQ168">
        <v>9</v>
      </c>
      <c r="DE168" s="61">
        <v>50</v>
      </c>
    </row>
    <row r="169" spans="1:109" ht="30.75" customHeight="1">
      <c r="A169" s="167" t="s">
        <v>59</v>
      </c>
      <c r="B169" s="167"/>
      <c r="C169" s="167"/>
      <c r="D169" s="167"/>
      <c r="E169" s="168"/>
      <c r="F169" s="71" t="s">
        <v>198</v>
      </c>
      <c r="G169" s="78">
        <f>VLOOKUP(завтрак1,таб,64,FALSE)</f>
        <v>0</v>
      </c>
      <c r="H169" s="34">
        <f>VLOOKUP(завтрак2,таб,64,FALSE)</f>
        <v>0</v>
      </c>
      <c r="I169" s="35">
        <f>VLOOKUP(завтрак3,таб,64,FALSE)</f>
        <v>0</v>
      </c>
      <c r="J169" s="34">
        <f>VLOOKUP(завтрак4,таб,64,FALSE)</f>
        <v>0</v>
      </c>
      <c r="K169" s="35">
        <f>VLOOKUP(завтрак5,таб,64,FALSE)</f>
        <v>0</v>
      </c>
      <c r="L169" s="35">
        <f>VLOOKUP(завтрак6,таб,64,FALSE)</f>
        <v>0</v>
      </c>
      <c r="M169" s="28">
        <f>VLOOKUP(завтрак7,таб,64,FALSE)</f>
        <v>0</v>
      </c>
      <c r="N169" s="88">
        <f>VLOOKUP(завтрак8,таб,64,FALSE)</f>
        <v>0</v>
      </c>
      <c r="O169" s="36">
        <f>VLOOKUP(обед1,таб,64,FALSE)</f>
        <v>0</v>
      </c>
      <c r="P169" s="35">
        <f>VLOOKUP(обед2,таб,64,FALSE)</f>
        <v>0</v>
      </c>
      <c r="Q169" s="34">
        <f>VLOOKUP(обед3,таб,64,FALSE)</f>
        <v>0</v>
      </c>
      <c r="R169" s="35">
        <f>VLOOKUP(обед4,таб,64,FALSE)</f>
        <v>0</v>
      </c>
      <c r="S169" s="34">
        <f>VLOOKUP(обед5,таб,64,FALSE)</f>
        <v>0</v>
      </c>
      <c r="T169" s="35">
        <f>VLOOKUP(обед6,таб,64,FALSE)</f>
        <v>0</v>
      </c>
      <c r="U169" s="34">
        <f>VLOOKUP(обед7,таб,64,FALSE)</f>
        <v>0</v>
      </c>
      <c r="V169" s="35">
        <f>VLOOKUP(обед8,таб,64,FALSE)</f>
        <v>0</v>
      </c>
      <c r="W169" s="35">
        <f>VLOOKUP(полдник1,таб,64,FALSE)</f>
        <v>0</v>
      </c>
      <c r="X169" s="35">
        <f>VLOOKUP(полдник2,таб,64,FALSE)</f>
        <v>0</v>
      </c>
      <c r="Y169" s="94">
        <f>VLOOKUP(полдник3,таб,64,FALSE)</f>
        <v>0</v>
      </c>
      <c r="Z169" s="36">
        <f>VLOOKUP(ужин1,таб,64,FALSE)</f>
        <v>0</v>
      </c>
      <c r="AA169" s="34">
        <f>VLOOKUP(ужин2,таб,64,FALSE)</f>
        <v>0</v>
      </c>
      <c r="AB169" s="35">
        <f>VLOOKUP(ужин3,таб,64,FALSE)</f>
        <v>0</v>
      </c>
      <c r="AC169" s="34">
        <f>VLOOKUP(ужин4,таб,64,FALSE)</f>
        <v>0</v>
      </c>
      <c r="AD169" s="35">
        <f>VLOOKUP(ужин5,таб,64,FALSE)</f>
        <v>0</v>
      </c>
      <c r="AE169" s="34">
        <f>VLOOKUP(ужин6,таб,64,FALSE)</f>
        <v>0</v>
      </c>
      <c r="AF169" s="35">
        <f>VLOOKUP(ужин7,таб,64,FALSE)</f>
        <v>0</v>
      </c>
      <c r="AG169" s="94">
        <f>VLOOKUP(ужин8,таб,64,FALSE)</f>
        <v>0</v>
      </c>
      <c r="AH169" s="152"/>
      <c r="AI169" s="161">
        <f>AK169/сред</f>
        <v>0</v>
      </c>
      <c r="AJ169" s="162"/>
      <c r="AK169" s="154">
        <f>SUM(G170:AG170)</f>
        <v>0</v>
      </c>
      <c r="AL169" s="154"/>
      <c r="AM169" s="213">
        <f>IF(AK169=0,0,DB117)</f>
        <v>0</v>
      </c>
      <c r="AN169" s="155">
        <f>AK169*AM169</f>
        <v>0</v>
      </c>
      <c r="AP169">
        <v>166</v>
      </c>
      <c r="AQ169" s="61" t="s">
        <v>279</v>
      </c>
      <c r="AS169">
        <v>60</v>
      </c>
      <c r="CI169">
        <v>8</v>
      </c>
      <c r="CQ169">
        <v>8</v>
      </c>
      <c r="DE169" s="61">
        <v>60</v>
      </c>
    </row>
    <row r="170" spans="1:109" ht="30.75" customHeight="1">
      <c r="A170" s="167"/>
      <c r="B170" s="167"/>
      <c r="C170" s="167"/>
      <c r="D170" s="167"/>
      <c r="E170" s="168"/>
      <c r="F170" s="66" t="s">
        <v>199</v>
      </c>
      <c r="G170" s="79">
        <f aca="true" t="shared" si="215" ref="G170:N170">IF(G169=0,"",завтракл*G169/1000)</f>
      </c>
      <c r="H170" s="47">
        <f t="shared" si="215"/>
      </c>
      <c r="I170" s="46">
        <f t="shared" si="215"/>
      </c>
      <c r="J170" s="47">
        <f t="shared" si="215"/>
      </c>
      <c r="K170" s="46">
        <f t="shared" si="215"/>
      </c>
      <c r="L170" s="46">
        <f t="shared" si="215"/>
      </c>
      <c r="M170" s="46">
        <f t="shared" si="215"/>
      </c>
      <c r="N170" s="89">
        <f t="shared" si="215"/>
      </c>
      <c r="O170" s="48">
        <f aca="true" t="shared" si="216" ref="O170:V170">IF(O169=0,"",обідл*O169/1000)</f>
      </c>
      <c r="P170" s="46">
        <f t="shared" si="216"/>
      </c>
      <c r="Q170" s="47">
        <f t="shared" si="216"/>
      </c>
      <c r="R170" s="46">
        <f t="shared" si="216"/>
      </c>
      <c r="S170" s="47">
        <f t="shared" si="216"/>
      </c>
      <c r="T170" s="46">
        <f t="shared" si="216"/>
      </c>
      <c r="U170" s="47">
        <f t="shared" si="216"/>
      </c>
      <c r="V170" s="46">
        <f t="shared" si="216"/>
      </c>
      <c r="W170" s="46">
        <f>IF(W169=0,"",полдникл*W169/1000)</f>
      </c>
      <c r="X170" s="46">
        <f>IF(X169=0,"",полдникл*X169/1000)</f>
      </c>
      <c r="Y170" s="89">
        <f>IF(Y169=0,"",полдникл*Y169/1000)</f>
      </c>
      <c r="Z170" s="48">
        <f aca="true" t="shared" si="217" ref="Z170:AG170">IF(Z169=0,"",ужинл*Z169/1000)</f>
      </c>
      <c r="AA170" s="47">
        <f t="shared" si="217"/>
      </c>
      <c r="AB170" s="46">
        <f t="shared" si="217"/>
      </c>
      <c r="AC170" s="47">
        <f t="shared" si="217"/>
      </c>
      <c r="AD170" s="46">
        <f t="shared" si="217"/>
      </c>
      <c r="AE170" s="47">
        <f t="shared" si="217"/>
      </c>
      <c r="AF170" s="46">
        <f t="shared" si="217"/>
      </c>
      <c r="AG170" s="89">
        <f t="shared" si="217"/>
      </c>
      <c r="AH170" s="153"/>
      <c r="AI170" s="161"/>
      <c r="AJ170" s="162"/>
      <c r="AK170" s="154"/>
      <c r="AL170" s="154"/>
      <c r="AM170" s="214"/>
      <c r="AN170" s="156"/>
      <c r="AP170">
        <v>167</v>
      </c>
      <c r="AQ170" s="99" t="s">
        <v>282</v>
      </c>
      <c r="AZ170">
        <v>5</v>
      </c>
      <c r="BC170">
        <v>2</v>
      </c>
      <c r="BJ170">
        <v>0.1</v>
      </c>
      <c r="BL170">
        <v>60</v>
      </c>
      <c r="BW170">
        <v>5</v>
      </c>
      <c r="CZ170">
        <v>1</v>
      </c>
      <c r="DE170" s="61">
        <v>90</v>
      </c>
    </row>
    <row r="171" spans="1:109" ht="30.75" customHeight="1">
      <c r="A171" s="167" t="s">
        <v>60</v>
      </c>
      <c r="B171" s="167"/>
      <c r="C171" s="167"/>
      <c r="D171" s="167"/>
      <c r="E171" s="168"/>
      <c r="F171" s="71" t="s">
        <v>198</v>
      </c>
      <c r="G171" s="80">
        <f>VLOOKUP(завтрак1,таб,65,FALSE)</f>
        <v>0</v>
      </c>
      <c r="H171" s="37">
        <f>VLOOKUP(завтрак2,таб,65,FALSE)</f>
        <v>0</v>
      </c>
      <c r="I171" s="38">
        <f>VLOOKUP(завтрак3,таб,65,FALSE)</f>
        <v>0</v>
      </c>
      <c r="J171" s="37">
        <f>VLOOKUP(завтрак4,таб,65,FALSE)</f>
        <v>0</v>
      </c>
      <c r="K171" s="38">
        <f>VLOOKUP(завтрак5,таб,65,FALSE)</f>
        <v>0</v>
      </c>
      <c r="L171" s="38">
        <f>VLOOKUP(завтрак6,таб,65,FALSE)</f>
        <v>0</v>
      </c>
      <c r="M171" s="28">
        <f>VLOOKUP(завтрак7,таб,65,FALSE)</f>
        <v>0</v>
      </c>
      <c r="N171" s="88">
        <f>VLOOKUP(завтрак8,таб,65,FALSE)</f>
        <v>0</v>
      </c>
      <c r="O171" s="39">
        <f>VLOOKUP(обед1,таб,65,FALSE)</f>
        <v>0</v>
      </c>
      <c r="P171" s="38">
        <f>VLOOKUP(обед2,таб,65,FALSE)</f>
        <v>0</v>
      </c>
      <c r="Q171" s="37">
        <f>VLOOKUP(обед3,таб,65,FALSE)</f>
        <v>0</v>
      </c>
      <c r="R171" s="38">
        <f>VLOOKUP(обед4,таб,65,FALSE)</f>
        <v>0</v>
      </c>
      <c r="S171" s="37">
        <f>VLOOKUP(обед5,таб,65,FALSE)</f>
        <v>0</v>
      </c>
      <c r="T171" s="38">
        <f>VLOOKUP(обед6,таб,65,FALSE)</f>
        <v>0</v>
      </c>
      <c r="U171" s="37">
        <f>VLOOKUP(обед7,таб,65,FALSE)</f>
        <v>0</v>
      </c>
      <c r="V171" s="38">
        <f>VLOOKUP(обед8,таб,65,FALSE)</f>
        <v>0</v>
      </c>
      <c r="W171" s="38">
        <f>VLOOKUP(полдник1,таб,65,FALSE)</f>
        <v>0</v>
      </c>
      <c r="X171" s="38">
        <f>VLOOKUP(полдник2,таб,65,FALSE)</f>
        <v>0</v>
      </c>
      <c r="Y171" s="95">
        <f>VLOOKUP(полдник3,таб,65,FALSE)</f>
        <v>0</v>
      </c>
      <c r="Z171" s="39">
        <f>VLOOKUP(ужин1,таб,65,FALSE)</f>
        <v>0</v>
      </c>
      <c r="AA171" s="37">
        <f>VLOOKUP(ужин2,таб,65,FALSE)</f>
        <v>0</v>
      </c>
      <c r="AB171" s="38">
        <f>VLOOKUP(ужин3,таб,65,FALSE)</f>
        <v>0</v>
      </c>
      <c r="AC171" s="37">
        <f>VLOOKUP(ужин4,таб,65,FALSE)</f>
        <v>0</v>
      </c>
      <c r="AD171" s="38">
        <f>VLOOKUP(ужин5,таб,65,FALSE)</f>
        <v>0</v>
      </c>
      <c r="AE171" s="37">
        <f>VLOOKUP(ужин6,таб,65,FALSE)</f>
        <v>0</v>
      </c>
      <c r="AF171" s="38">
        <f>VLOOKUP(ужин7,таб,65,FALSE)</f>
        <v>1</v>
      </c>
      <c r="AG171" s="95">
        <f>VLOOKUP(ужин8,таб,65,FALSE)</f>
        <v>0</v>
      </c>
      <c r="AH171" s="152"/>
      <c r="AI171" s="161">
        <f>AK171/сред</f>
        <v>0.001</v>
      </c>
      <c r="AJ171" s="162"/>
      <c r="AK171" s="154">
        <f>SUM(G172:AG172)</f>
        <v>0.016</v>
      </c>
      <c r="AL171" s="154"/>
      <c r="AM171" s="213">
        <f>IF(AK171=0,0,DC117)</f>
        <v>86.67</v>
      </c>
      <c r="AN171" s="155">
        <f>AK171*AM171</f>
        <v>1.38672</v>
      </c>
      <c r="AP171">
        <v>168</v>
      </c>
      <c r="AQ171" s="61" t="s">
        <v>303</v>
      </c>
      <c r="BW171">
        <v>22</v>
      </c>
      <c r="CF171">
        <v>41</v>
      </c>
      <c r="DE171" s="61">
        <v>180</v>
      </c>
    </row>
    <row r="172" spans="1:109" ht="30.75" customHeight="1">
      <c r="A172" s="167"/>
      <c r="B172" s="167"/>
      <c r="C172" s="167"/>
      <c r="D172" s="167"/>
      <c r="E172" s="168"/>
      <c r="F172" s="66" t="s">
        <v>199</v>
      </c>
      <c r="G172" s="81">
        <f aca="true" t="shared" si="218" ref="G172:N172">IF(G171=0,"",завтракл*G171/1000)</f>
      </c>
      <c r="H172" s="49">
        <f t="shared" si="218"/>
      </c>
      <c r="I172" s="45">
        <f t="shared" si="218"/>
      </c>
      <c r="J172" s="49">
        <f t="shared" si="218"/>
      </c>
      <c r="K172" s="45">
        <f t="shared" si="218"/>
      </c>
      <c r="L172" s="45">
        <f t="shared" si="218"/>
      </c>
      <c r="M172" s="46">
        <f t="shared" si="218"/>
      </c>
      <c r="N172" s="89">
        <f t="shared" si="218"/>
      </c>
      <c r="O172" s="50">
        <f aca="true" t="shared" si="219" ref="O172:V172">IF(O171=0,"",обідл*O171/1000)</f>
      </c>
      <c r="P172" s="45">
        <f t="shared" si="219"/>
      </c>
      <c r="Q172" s="49">
        <f t="shared" si="219"/>
      </c>
      <c r="R172" s="45">
        <f t="shared" si="219"/>
      </c>
      <c r="S172" s="49">
        <f t="shared" si="219"/>
      </c>
      <c r="T172" s="45">
        <f t="shared" si="219"/>
      </c>
      <c r="U172" s="49">
        <f t="shared" si="219"/>
      </c>
      <c r="V172" s="45">
        <f t="shared" si="219"/>
      </c>
      <c r="W172" s="45">
        <f>IF(W171=0,"",полдникл*W171/1000)</f>
      </c>
      <c r="X172" s="45">
        <f>IF(X171=0,"",полдникл*X171/1000)</f>
      </c>
      <c r="Y172" s="92">
        <f>IF(Y171=0,"",полдникл*Y171/1000)</f>
      </c>
      <c r="Z172" s="50">
        <f aca="true" t="shared" si="220" ref="Z172:AG172">IF(Z171=0,"",ужинл*Z171/1000)</f>
      </c>
      <c r="AA172" s="49">
        <f t="shared" si="220"/>
      </c>
      <c r="AB172" s="45">
        <f t="shared" si="220"/>
      </c>
      <c r="AC172" s="49">
        <f t="shared" si="220"/>
      </c>
      <c r="AD172" s="45">
        <f t="shared" si="220"/>
      </c>
      <c r="AE172" s="49">
        <f t="shared" si="220"/>
      </c>
      <c r="AF172" s="45">
        <f t="shared" si="220"/>
        <v>0.016</v>
      </c>
      <c r="AG172" s="92">
        <f t="shared" si="220"/>
      </c>
      <c r="AH172" s="153"/>
      <c r="AI172" s="161"/>
      <c r="AJ172" s="162"/>
      <c r="AK172" s="154"/>
      <c r="AL172" s="154"/>
      <c r="AM172" s="214"/>
      <c r="AN172" s="156"/>
      <c r="AP172">
        <v>169</v>
      </c>
      <c r="AQ172" s="61" t="s">
        <v>305</v>
      </c>
      <c r="BC172">
        <v>5</v>
      </c>
      <c r="CG172">
        <v>55.5</v>
      </c>
      <c r="CI172">
        <v>20</v>
      </c>
      <c r="CJ172">
        <v>13.5</v>
      </c>
      <c r="CL172">
        <v>35</v>
      </c>
      <c r="DE172" s="61">
        <v>100</v>
      </c>
    </row>
    <row r="173" spans="1:109" ht="30.75" customHeight="1">
      <c r="A173" s="167" t="s">
        <v>154</v>
      </c>
      <c r="B173" s="167"/>
      <c r="C173" s="167"/>
      <c r="D173" s="167"/>
      <c r="E173" s="168"/>
      <c r="F173" s="71" t="s">
        <v>198</v>
      </c>
      <c r="G173" s="78">
        <f>VLOOKUP(завтрак1,таб,70,FALSE)</f>
        <v>0</v>
      </c>
      <c r="H173" s="34">
        <f>VLOOKUP(завтрак2,таб,70,FALSE)</f>
        <v>0</v>
      </c>
      <c r="I173" s="35">
        <f>VLOOKUP(завтрак3,таб,70,FALSE)</f>
        <v>0</v>
      </c>
      <c r="J173" s="34">
        <f>VLOOKUP(завтрак4,таб,70,FALSE)</f>
        <v>0</v>
      </c>
      <c r="K173" s="35">
        <f>VLOOKUP(завтрак5,таб,70,FALSE)</f>
        <v>0</v>
      </c>
      <c r="L173" s="35">
        <f>VLOOKUP(завтрак6,таб,70,FALSE)</f>
        <v>0</v>
      </c>
      <c r="M173" s="28">
        <f>VLOOKUP(завтрак7,таб,70,FALSE)</f>
        <v>0</v>
      </c>
      <c r="N173" s="88">
        <f>VLOOKUP(завтрак8,таб,70,FALSE)</f>
        <v>0</v>
      </c>
      <c r="O173" s="36">
        <f>VLOOKUP(обед1,таб,70,FALSE)</f>
        <v>0</v>
      </c>
      <c r="P173" s="35">
        <f>VLOOKUP(обед2,таб,70,FALSE)</f>
        <v>0</v>
      </c>
      <c r="Q173" s="34">
        <f>VLOOKUP(обед3,таб,70,FALSE)</f>
        <v>0</v>
      </c>
      <c r="R173" s="35">
        <f>VLOOKUP(обед4,таб,70,FALSE)</f>
        <v>0</v>
      </c>
      <c r="S173" s="34">
        <f>VLOOKUP(обед5,таб,70,FALSE)</f>
        <v>0</v>
      </c>
      <c r="T173" s="35">
        <f>VLOOKUP(обед6,таб,70,FALSE)</f>
        <v>0</v>
      </c>
      <c r="U173" s="34">
        <f>VLOOKUP(обед7,таб,70,FALSE)</f>
        <v>0</v>
      </c>
      <c r="V173" s="35">
        <f>VLOOKUP(обед8,таб,70,FALSE)</f>
        <v>0</v>
      </c>
      <c r="W173" s="35">
        <f>VLOOKUP(полдник1,таб,70,FALSE)</f>
        <v>0</v>
      </c>
      <c r="X173" s="35">
        <f>VLOOKUP(полдник2,таб,70,FALSE)</f>
        <v>0</v>
      </c>
      <c r="Y173" s="94">
        <f>VLOOKUP(полдник3,таб,70,FALSE)</f>
        <v>0</v>
      </c>
      <c r="Z173" s="36">
        <f>VLOOKUP(ужин1,таб,70,FALSE)</f>
        <v>0</v>
      </c>
      <c r="AA173" s="34">
        <f>VLOOKUP(ужин2,таб,70,FALSE)</f>
        <v>0</v>
      </c>
      <c r="AB173" s="35">
        <f>VLOOKUP(ужин3,таб,70,FALSE)</f>
        <v>0</v>
      </c>
      <c r="AC173" s="34">
        <f>VLOOKUP(ужин4,таб,70,FALSE)</f>
        <v>0</v>
      </c>
      <c r="AD173" s="35">
        <f>VLOOKUP(ужин5,таб,70,FALSE)</f>
        <v>0</v>
      </c>
      <c r="AE173" s="34">
        <f>VLOOKUP(ужин6,таб,70,FALSE)</f>
        <v>0</v>
      </c>
      <c r="AF173" s="35">
        <f>VLOOKUP(ужин7,таб,70,FALSE)</f>
        <v>0</v>
      </c>
      <c r="AG173" s="94">
        <f>VLOOKUP(ужин8,таб,70,FALSE)</f>
        <v>0</v>
      </c>
      <c r="AH173" s="152"/>
      <c r="AI173" s="161">
        <f>AK173/сред</f>
        <v>0</v>
      </c>
      <c r="AJ173" s="162"/>
      <c r="AK173" s="154">
        <f>SUM(G174:AG174)</f>
        <v>0</v>
      </c>
      <c r="AL173" s="154"/>
      <c r="AM173" s="213">
        <f>IF(AK173=0,0,DH117)</f>
        <v>0</v>
      </c>
      <c r="AN173" s="155">
        <f>AK173*AM173</f>
        <v>0</v>
      </c>
      <c r="AP173">
        <v>170</v>
      </c>
      <c r="AQ173" s="61" t="s">
        <v>307</v>
      </c>
      <c r="BC173">
        <v>2</v>
      </c>
      <c r="CJ173">
        <v>66</v>
      </c>
      <c r="CO173">
        <v>66</v>
      </c>
      <c r="DE173" s="61">
        <v>90</v>
      </c>
    </row>
    <row r="174" spans="1:109" ht="30.75" customHeight="1">
      <c r="A174" s="167"/>
      <c r="B174" s="167"/>
      <c r="C174" s="167"/>
      <c r="D174" s="167"/>
      <c r="E174" s="168"/>
      <c r="F174" s="66" t="s">
        <v>199</v>
      </c>
      <c r="G174" s="79">
        <f aca="true" t="shared" si="221" ref="G174:N174">IF(G173=0,"",завтракл*G173/1000)</f>
      </c>
      <c r="H174" s="47">
        <f t="shared" si="221"/>
      </c>
      <c r="I174" s="46">
        <f t="shared" si="221"/>
      </c>
      <c r="J174" s="47">
        <f t="shared" si="221"/>
      </c>
      <c r="K174" s="46">
        <f t="shared" si="221"/>
      </c>
      <c r="L174" s="46">
        <f t="shared" si="221"/>
      </c>
      <c r="M174" s="46">
        <f t="shared" si="221"/>
      </c>
      <c r="N174" s="89">
        <f t="shared" si="221"/>
      </c>
      <c r="O174" s="48">
        <f aca="true" t="shared" si="222" ref="O174:V174">IF(O173=0,"",обідл*O173/1000)</f>
      </c>
      <c r="P174" s="46">
        <f t="shared" si="222"/>
      </c>
      <c r="Q174" s="47">
        <f t="shared" si="222"/>
      </c>
      <c r="R174" s="46">
        <f t="shared" si="222"/>
      </c>
      <c r="S174" s="47">
        <f t="shared" si="222"/>
      </c>
      <c r="T174" s="46">
        <f t="shared" si="222"/>
      </c>
      <c r="U174" s="47">
        <f t="shared" si="222"/>
      </c>
      <c r="V174" s="46">
        <f t="shared" si="222"/>
      </c>
      <c r="W174" s="46">
        <f>IF(W173=0,"",полдникл*W173/1000)</f>
      </c>
      <c r="X174" s="46">
        <f>IF(X173=0,"",полдникл*X173/1000)</f>
      </c>
      <c r="Y174" s="89">
        <f>IF(Y173=0,"",полдникл*Y173/1000)</f>
      </c>
      <c r="Z174" s="48">
        <f aca="true" t="shared" si="223" ref="Z174:AG174">IF(Z173=0,"",ужинл*Z173/1000)</f>
      </c>
      <c r="AA174" s="47">
        <f t="shared" si="223"/>
      </c>
      <c r="AB174" s="46">
        <f t="shared" si="223"/>
      </c>
      <c r="AC174" s="47">
        <f t="shared" si="223"/>
      </c>
      <c r="AD174" s="46">
        <f t="shared" si="223"/>
      </c>
      <c r="AE174" s="47">
        <f t="shared" si="223"/>
      </c>
      <c r="AF174" s="46">
        <f t="shared" si="223"/>
      </c>
      <c r="AG174" s="89">
        <f t="shared" si="223"/>
      </c>
      <c r="AH174" s="153"/>
      <c r="AI174" s="161"/>
      <c r="AJ174" s="162"/>
      <c r="AK174" s="154"/>
      <c r="AL174" s="154"/>
      <c r="AM174" s="214"/>
      <c r="AN174" s="156"/>
      <c r="AP174">
        <v>171</v>
      </c>
      <c r="AQ174" s="61" t="s">
        <v>306</v>
      </c>
      <c r="AT174">
        <v>92</v>
      </c>
      <c r="AZ174">
        <v>5</v>
      </c>
      <c r="BC174">
        <v>1</v>
      </c>
      <c r="BG174">
        <v>2</v>
      </c>
      <c r="BR174">
        <v>12</v>
      </c>
      <c r="CH174">
        <v>143</v>
      </c>
      <c r="CI174">
        <v>11</v>
      </c>
      <c r="CJ174">
        <v>12</v>
      </c>
      <c r="CM174">
        <v>3</v>
      </c>
      <c r="DE174" s="61">
        <v>200</v>
      </c>
    </row>
    <row r="175" spans="1:109" ht="30.75" customHeight="1">
      <c r="A175" s="197" t="s">
        <v>155</v>
      </c>
      <c r="B175" s="197"/>
      <c r="C175" s="197"/>
      <c r="D175" s="197"/>
      <c r="E175" s="198"/>
      <c r="F175" s="71" t="s">
        <v>198</v>
      </c>
      <c r="G175" s="80">
        <f>VLOOKUP(завтрак1,таб,71,FALSE)</f>
        <v>0</v>
      </c>
      <c r="H175" s="37">
        <f>VLOOKUP(завтрак2,таб,71,FALSE)</f>
        <v>0</v>
      </c>
      <c r="I175" s="38">
        <f>VLOOKUP(завтрак3,таб,71,FALSE)</f>
        <v>0</v>
      </c>
      <c r="J175" s="37">
        <f>VLOOKUP(завтрак4,таб,71,FALSE)</f>
        <v>0</v>
      </c>
      <c r="K175" s="38">
        <f>VLOOKUP(завтрак5,таб,71,FALSE)</f>
        <v>0</v>
      </c>
      <c r="L175" s="38">
        <f>VLOOKUP(завтрак6,таб,71,FALSE)</f>
        <v>0</v>
      </c>
      <c r="M175" s="28">
        <f>VLOOKUP(завтрак7,таб,71,FALSE)</f>
        <v>0</v>
      </c>
      <c r="N175" s="88">
        <f>VLOOKUP(завтрак8,таб,71,FALSE)</f>
        <v>0</v>
      </c>
      <c r="O175" s="39">
        <f>VLOOKUP(обед1,таб,71,FALSE)</f>
        <v>0</v>
      </c>
      <c r="P175" s="38">
        <f>VLOOKUP(обед2,таб,71,FALSE)</f>
        <v>0</v>
      </c>
      <c r="Q175" s="37">
        <f>VLOOKUP(обед3,таб,71,FALSE)</f>
        <v>0</v>
      </c>
      <c r="R175" s="38">
        <f>VLOOKUP(обед4,таб,71,FALSE)</f>
        <v>0</v>
      </c>
      <c r="S175" s="37">
        <f>VLOOKUP(обед5,таб,71,FALSE)</f>
        <v>0</v>
      </c>
      <c r="T175" s="38">
        <f>VLOOKUP(обед6,таб,71,FALSE)</f>
        <v>0</v>
      </c>
      <c r="U175" s="37">
        <f>VLOOKUP(обед7,таб,71,FALSE)</f>
        <v>0</v>
      </c>
      <c r="V175" s="38">
        <f>VLOOKUP(обед8,таб,71,FALSE)</f>
        <v>0</v>
      </c>
      <c r="W175" s="38">
        <f>VLOOKUP(полдник1,таб,71,FALSE)</f>
        <v>0</v>
      </c>
      <c r="X175" s="38">
        <f>VLOOKUP(полдник2,таб,71,FALSE)</f>
        <v>0</v>
      </c>
      <c r="Y175" s="95">
        <f>VLOOKUP(полдник3,таб,71,FALSE)</f>
        <v>0</v>
      </c>
      <c r="Z175" s="39">
        <f>VLOOKUP(ужин1,таб,71,FALSE)</f>
        <v>0</v>
      </c>
      <c r="AA175" s="37"/>
      <c r="AB175" s="38">
        <f>VLOOKUP(ужин3,таб,71,FALSE)</f>
        <v>0</v>
      </c>
      <c r="AC175" s="37">
        <f>VLOOKUP(ужин4,таб,71,FALSE)</f>
        <v>0</v>
      </c>
      <c r="AD175" s="38">
        <f>VLOOKUP(ужин5,таб,71,FALSE)</f>
        <v>0</v>
      </c>
      <c r="AE175" s="37">
        <f>VLOOKUP(ужин6,таб,71,FALSE)</f>
        <v>0</v>
      </c>
      <c r="AF175" s="38">
        <f>VLOOKUP(ужин7,таб,71,FALSE)</f>
        <v>0</v>
      </c>
      <c r="AG175" s="95">
        <f>VLOOKUP(ужин8,таб,71,FALSE)</f>
        <v>0</v>
      </c>
      <c r="AH175" s="152"/>
      <c r="AI175" s="161">
        <f>AK175/сред</f>
        <v>0</v>
      </c>
      <c r="AJ175" s="162"/>
      <c r="AK175" s="154">
        <f>SUM(G176:AG176)</f>
        <v>0</v>
      </c>
      <c r="AL175" s="154"/>
      <c r="AM175" s="213">
        <f>IF(AK175=0,0,DI117)</f>
        <v>0</v>
      </c>
      <c r="AN175" s="155">
        <f>AK175*AM175</f>
        <v>0</v>
      </c>
      <c r="AP175">
        <v>172</v>
      </c>
      <c r="AQ175" s="61" t="s">
        <v>308</v>
      </c>
      <c r="AZ175">
        <v>4</v>
      </c>
      <c r="BC175">
        <v>4</v>
      </c>
      <c r="BG175">
        <v>7</v>
      </c>
      <c r="BR175">
        <v>12</v>
      </c>
      <c r="CG175">
        <v>85</v>
      </c>
      <c r="CI175">
        <v>17</v>
      </c>
      <c r="CJ175">
        <v>18</v>
      </c>
      <c r="CM175">
        <v>2</v>
      </c>
      <c r="DE175" s="61">
        <v>300</v>
      </c>
    </row>
    <row r="176" spans="1:109" ht="30.75" customHeight="1">
      <c r="A176" s="199"/>
      <c r="B176" s="199"/>
      <c r="C176" s="199"/>
      <c r="D176" s="199"/>
      <c r="E176" s="200"/>
      <c r="F176" s="66" t="s">
        <v>199</v>
      </c>
      <c r="G176" s="79">
        <f aca="true" t="shared" si="224" ref="G176:N176">IF(G175=0,"",завтракл*G175/1000)</f>
      </c>
      <c r="H176" s="47">
        <f t="shared" si="224"/>
      </c>
      <c r="I176" s="46">
        <f t="shared" si="224"/>
      </c>
      <c r="J176" s="47">
        <f t="shared" si="224"/>
      </c>
      <c r="K176" s="46">
        <f t="shared" si="224"/>
      </c>
      <c r="L176" s="46">
        <f t="shared" si="224"/>
      </c>
      <c r="M176" s="46">
        <f t="shared" si="224"/>
      </c>
      <c r="N176" s="89">
        <f t="shared" si="224"/>
      </c>
      <c r="O176" s="48">
        <f aca="true" t="shared" si="225" ref="O176:V176">IF(O175=0,"",обідл*O175/1000)</f>
      </c>
      <c r="P176" s="46">
        <f t="shared" si="225"/>
      </c>
      <c r="Q176" s="47">
        <f t="shared" si="225"/>
      </c>
      <c r="R176" s="46">
        <f t="shared" si="225"/>
      </c>
      <c r="S176" s="47">
        <f t="shared" si="225"/>
      </c>
      <c r="T176" s="46">
        <f t="shared" si="225"/>
      </c>
      <c r="U176" s="47">
        <f t="shared" si="225"/>
      </c>
      <c r="V176" s="46">
        <f t="shared" si="225"/>
      </c>
      <c r="W176" s="46">
        <f>IF(W175=0,"",полдникл*W175/1000)</f>
      </c>
      <c r="X176" s="46">
        <f>IF(X175=0,"",полдникл*X175/1000)</f>
      </c>
      <c r="Y176" s="89">
        <f>IF(Y175=0,"",полдникл*Y175/1000)</f>
      </c>
      <c r="Z176" s="48">
        <f aca="true" t="shared" si="226" ref="Z176:AG176">IF(Z175=0,"",ужинл*Z175/1000)</f>
      </c>
      <c r="AA176" s="47">
        <f t="shared" si="226"/>
      </c>
      <c r="AB176" s="46">
        <f t="shared" si="226"/>
      </c>
      <c r="AC176" s="47">
        <f t="shared" si="226"/>
      </c>
      <c r="AD176" s="46">
        <f t="shared" si="226"/>
      </c>
      <c r="AE176" s="47">
        <f t="shared" si="226"/>
      </c>
      <c r="AF176" s="46">
        <f t="shared" si="226"/>
      </c>
      <c r="AG176" s="89">
        <f t="shared" si="226"/>
      </c>
      <c r="AH176" s="153"/>
      <c r="AI176" s="161"/>
      <c r="AJ176" s="162"/>
      <c r="AK176" s="154"/>
      <c r="AL176" s="154"/>
      <c r="AM176" s="214"/>
      <c r="AN176" s="156"/>
      <c r="AP176">
        <v>173</v>
      </c>
      <c r="AQ176" s="61" t="s">
        <v>309</v>
      </c>
      <c r="BC176">
        <v>5</v>
      </c>
      <c r="CI176">
        <v>18</v>
      </c>
      <c r="CL176">
        <v>101</v>
      </c>
      <c r="DE176" s="61">
        <v>100</v>
      </c>
    </row>
    <row r="177" spans="1:109" ht="30.75" customHeight="1">
      <c r="A177" s="197" t="s">
        <v>348</v>
      </c>
      <c r="B177" s="197"/>
      <c r="C177" s="197"/>
      <c r="D177" s="197"/>
      <c r="E177" s="198"/>
      <c r="F177" s="71" t="s">
        <v>198</v>
      </c>
      <c r="G177" s="78">
        <f>VLOOKUP(завтрак1,таб,66,FALSE)</f>
        <v>0</v>
      </c>
      <c r="H177" s="34">
        <f>VLOOKUP(завтрак2,таб,66,FALSE)</f>
        <v>0</v>
      </c>
      <c r="I177" s="35">
        <f>VLOOKUP(завтрак3,таб,66,FALSE)</f>
        <v>0</v>
      </c>
      <c r="J177" s="34">
        <f>VLOOKUP(завтрак4,таб,66,FALSE)</f>
        <v>0</v>
      </c>
      <c r="K177" s="35">
        <f>VLOOKUP(завтрак5,таб,66,FALSE)</f>
        <v>0</v>
      </c>
      <c r="L177" s="35">
        <f>VLOOKUP(завтрак6,таб,66,FALSE)</f>
        <v>0</v>
      </c>
      <c r="M177" s="28">
        <f>VLOOKUP(завтрак7,таб,66,FALSE)</f>
        <v>0</v>
      </c>
      <c r="N177" s="88">
        <f>VLOOKUP(завтрак8,таб,66,FALSE)</f>
        <v>0</v>
      </c>
      <c r="O177" s="36">
        <f>VLOOKUP(обед1,таб,66,FALSE)</f>
        <v>0</v>
      </c>
      <c r="P177" s="35">
        <f>VLOOKUP(обед2,таб,66,FALSE)</f>
        <v>0</v>
      </c>
      <c r="Q177" s="34">
        <f>VLOOKUP(обед3,таб,66,FALSE)</f>
        <v>0</v>
      </c>
      <c r="R177" s="35">
        <f>VLOOKUP(обед4,таб,66,FALSE)</f>
        <v>0</v>
      </c>
      <c r="S177" s="34">
        <f>VLOOKUP(обед5,таб,66,FALSE)</f>
        <v>0</v>
      </c>
      <c r="T177" s="35">
        <f>VLOOKUP(обед6,таб,66,FALSE)</f>
        <v>0</v>
      </c>
      <c r="U177" s="34">
        <f>VLOOKUP(обед7,таб,66,FALSE)</f>
        <v>0</v>
      </c>
      <c r="V177" s="35">
        <f>VLOOKUP(обед8,таб,66,FALSE)</f>
        <v>0</v>
      </c>
      <c r="W177" s="35">
        <f>VLOOKUP(полдник1,таб,66,FALSE)</f>
        <v>0</v>
      </c>
      <c r="X177" s="35">
        <f>VLOOKUP(полдник2,таб,66,FALSE)</f>
        <v>0</v>
      </c>
      <c r="Y177" s="94">
        <f>VLOOKUP(полдник3,таб,66,FALSE)</f>
        <v>0</v>
      </c>
      <c r="Z177" s="36">
        <f>VLOOKUP(ужин1,таб,66,FALSE)</f>
        <v>0</v>
      </c>
      <c r="AA177" s="34">
        <f>VLOOKUP(ужин2,таб,66,FALSE)</f>
        <v>0</v>
      </c>
      <c r="AB177" s="35">
        <f>VLOOKUP(ужин3,таб,66,FALSE)</f>
        <v>0</v>
      </c>
      <c r="AC177" s="34">
        <f>VLOOKUP(ужин4,таб,66,FALSE)</f>
        <v>0</v>
      </c>
      <c r="AD177" s="35">
        <f>VLOOKUP(ужин5,таб,66,FALSE)</f>
        <v>0</v>
      </c>
      <c r="AE177" s="34">
        <f>VLOOKUP(ужин6,таб,66,FALSE)</f>
        <v>0</v>
      </c>
      <c r="AF177" s="35">
        <f>VLOOKUP(ужин7,таб,66,FALSE)</f>
        <v>0</v>
      </c>
      <c r="AG177" s="94">
        <f>VLOOKUP(ужин8,таб,66,FALSE)</f>
        <v>0</v>
      </c>
      <c r="AH177" s="152"/>
      <c r="AI177" s="161">
        <f>AK177/сред</f>
        <v>0</v>
      </c>
      <c r="AJ177" s="162"/>
      <c r="AK177" s="154">
        <f>SUM(G178:AG178)</f>
        <v>0</v>
      </c>
      <c r="AL177" s="154"/>
      <c r="AM177" s="213">
        <f>IF(AK177=0,0,AW117)</f>
        <v>0</v>
      </c>
      <c r="AN177" s="155">
        <f>AK177*AM177</f>
        <v>0</v>
      </c>
      <c r="AP177">
        <v>174</v>
      </c>
      <c r="AQ177" s="61"/>
      <c r="DE177" s="61"/>
    </row>
    <row r="178" spans="1:128" ht="30.75" customHeight="1">
      <c r="A178" s="197"/>
      <c r="B178" s="197"/>
      <c r="C178" s="197"/>
      <c r="D178" s="197"/>
      <c r="E178" s="198"/>
      <c r="F178" s="66" t="s">
        <v>199</v>
      </c>
      <c r="G178" s="79">
        <f aca="true" t="shared" si="227" ref="G178:N178">IF(G177=0,"",завтракл*G177/1000)</f>
      </c>
      <c r="H178" s="47">
        <f t="shared" si="227"/>
      </c>
      <c r="I178" s="46">
        <f t="shared" si="227"/>
      </c>
      <c r="J178" s="47">
        <f t="shared" si="227"/>
      </c>
      <c r="K178" s="46">
        <f t="shared" si="227"/>
      </c>
      <c r="L178" s="46">
        <f t="shared" si="227"/>
      </c>
      <c r="M178" s="46">
        <f t="shared" si="227"/>
      </c>
      <c r="N178" s="89">
        <f t="shared" si="227"/>
      </c>
      <c r="O178" s="48">
        <f aca="true" t="shared" si="228" ref="O178:V178">IF(O177=0,"",обідл*O177/1000)</f>
      </c>
      <c r="P178" s="46">
        <f t="shared" si="228"/>
      </c>
      <c r="Q178" s="47">
        <f t="shared" si="228"/>
      </c>
      <c r="R178" s="46">
        <f t="shared" si="228"/>
      </c>
      <c r="S178" s="47">
        <f t="shared" si="228"/>
      </c>
      <c r="T178" s="46">
        <f t="shared" si="228"/>
      </c>
      <c r="U178" s="47">
        <f t="shared" si="228"/>
      </c>
      <c r="V178" s="46">
        <f t="shared" si="228"/>
      </c>
      <c r="W178" s="46">
        <f>IF(W177=0,"",полдникл*W177/1000)</f>
      </c>
      <c r="X178" s="46">
        <f>IF(X177=0,"",полдникл*X177/1000)</f>
      </c>
      <c r="Y178" s="89">
        <f>IF(Y177=0,"",полдникл*Y177/1000)</f>
      </c>
      <c r="Z178" s="48">
        <f aca="true" t="shared" si="229" ref="Z178:AG178">IF(Z177=0,"",ужинл*Z177/1000)</f>
      </c>
      <c r="AA178" s="47">
        <f t="shared" si="229"/>
      </c>
      <c r="AB178" s="46">
        <f t="shared" si="229"/>
      </c>
      <c r="AC178" s="47">
        <f t="shared" si="229"/>
      </c>
      <c r="AD178" s="46">
        <f t="shared" si="229"/>
      </c>
      <c r="AE178" s="47">
        <f t="shared" si="229"/>
      </c>
      <c r="AF178" s="46">
        <f t="shared" si="229"/>
      </c>
      <c r="AG178" s="89">
        <f t="shared" si="229"/>
      </c>
      <c r="AH178" s="153"/>
      <c r="AI178" s="161"/>
      <c r="AJ178" s="162"/>
      <c r="AK178" s="154"/>
      <c r="AL178" s="154"/>
      <c r="AM178" s="214"/>
      <c r="AN178" s="156"/>
      <c r="AP178">
        <v>175</v>
      </c>
      <c r="AQ178" s="61" t="s">
        <v>253</v>
      </c>
      <c r="DE178" s="61">
        <v>2</v>
      </c>
      <c r="DX178">
        <v>2</v>
      </c>
    </row>
    <row r="179" spans="1:121" ht="30.75" customHeight="1">
      <c r="A179" s="299" t="s">
        <v>312</v>
      </c>
      <c r="B179" s="300"/>
      <c r="C179" s="300"/>
      <c r="D179" s="300"/>
      <c r="E179" s="301"/>
      <c r="F179" s="73" t="s">
        <v>198</v>
      </c>
      <c r="G179" s="78">
        <f>VLOOKUP(завтрак1,таб,79,FALSE)</f>
        <v>0</v>
      </c>
      <c r="H179" s="28">
        <f>VLOOKUP(завтрак2,таб,79,FALSE)</f>
        <v>0</v>
      </c>
      <c r="I179" s="28">
        <f>VLOOKUP(завтрак3,таб,79,FALSE)</f>
        <v>0</v>
      </c>
      <c r="J179" s="28">
        <f>VLOOKUP(завтрак4,таб,79,FALSE)</f>
        <v>0</v>
      </c>
      <c r="K179" s="28">
        <f>VLOOKUP(завтрак5,таб,79,FALSE)</f>
        <v>0</v>
      </c>
      <c r="L179" s="28">
        <f>VLOOKUP(завтрак6,таб,79,FALSE)</f>
        <v>0</v>
      </c>
      <c r="M179" s="28">
        <f>VLOOKUP(завтрак7,таб,79,FALSE)</f>
        <v>0</v>
      </c>
      <c r="N179" s="88">
        <f>VLOOKUP(завтрак8,таб,79,FALSE)</f>
        <v>0</v>
      </c>
      <c r="O179" s="36">
        <f>VLOOKUP(обед1,таб,79,FALSE)</f>
        <v>0</v>
      </c>
      <c r="P179" s="35">
        <f>VLOOKUP(обед2,таб,79,FALSE)</f>
        <v>0</v>
      </c>
      <c r="Q179" s="35">
        <f>VLOOKUP(обед3,таб,79,FALSE)</f>
        <v>0</v>
      </c>
      <c r="R179" s="35">
        <f>VLOOKUP(обед4,таб,79,FALSE)</f>
        <v>0</v>
      </c>
      <c r="S179" s="35">
        <f>VLOOKUP(обед5,таб,79,FALSE)</f>
        <v>0</v>
      </c>
      <c r="T179" s="35">
        <f>VLOOKUP(обед6,таб,79,FALSE)</f>
        <v>0</v>
      </c>
      <c r="U179" s="35">
        <f>VLOOKUP(обед7,таб,79,FALSE)</f>
        <v>0</v>
      </c>
      <c r="V179" s="35">
        <f>VLOOKUP(обед8,таб,79,FALSE)</f>
        <v>0</v>
      </c>
      <c r="W179" s="35">
        <f>VLOOKUP(полдник1,таб,79,FALSE)</f>
        <v>0</v>
      </c>
      <c r="X179" s="35">
        <f>VLOOKUP(полдник2,таб,79,FALSE)</f>
        <v>0</v>
      </c>
      <c r="Y179" s="94">
        <f>VLOOKUP(полдник3,таб,79,FALSE)</f>
        <v>0</v>
      </c>
      <c r="Z179" s="36">
        <f>VLOOKUP(ужин1,таб,79,FALSE)</f>
        <v>0</v>
      </c>
      <c r="AA179" s="35">
        <f>VLOOKUP(ужин2,таб,79,FALSE)</f>
        <v>0</v>
      </c>
      <c r="AB179" s="35">
        <f>VLOOKUP(ужин3,таб,79,FALSE)</f>
        <v>0</v>
      </c>
      <c r="AC179" s="35">
        <f>VLOOKUP(ужин4,таб,79,FALSE)</f>
        <v>0</v>
      </c>
      <c r="AD179" s="35">
        <f>VLOOKUP(ужин5,таб,79,FALSE)</f>
        <v>0</v>
      </c>
      <c r="AE179" s="35">
        <f>VLOOKUP(ужин6,таб,79,FALSE)</f>
        <v>0</v>
      </c>
      <c r="AF179" s="35">
        <f>VLOOKUP(ужин7,таб,79,FALSE)</f>
        <v>0</v>
      </c>
      <c r="AG179" s="94">
        <f>VLOOKUP(ужин8,таб,79,FALSE)</f>
        <v>0</v>
      </c>
      <c r="AH179" s="152"/>
      <c r="AI179" s="161">
        <f>AK179/сред</f>
        <v>0</v>
      </c>
      <c r="AJ179" s="162"/>
      <c r="AK179" s="154">
        <f>SUM(G180:AG180)</f>
        <v>0</v>
      </c>
      <c r="AL179" s="154"/>
      <c r="AM179" s="213">
        <f>IF(AK179=0,0,DQ117)</f>
        <v>0</v>
      </c>
      <c r="AN179" s="155">
        <f>AK179*AM179</f>
        <v>0</v>
      </c>
      <c r="AP179">
        <v>176</v>
      </c>
      <c r="AQ179" s="61" t="s">
        <v>311</v>
      </c>
      <c r="AZ179">
        <v>6</v>
      </c>
      <c r="BC179">
        <v>6</v>
      </c>
      <c r="CG179">
        <v>60</v>
      </c>
      <c r="CI179">
        <v>12</v>
      </c>
      <c r="CJ179">
        <v>12</v>
      </c>
      <c r="DE179" s="61">
        <v>300</v>
      </c>
      <c r="DQ179">
        <v>24</v>
      </c>
    </row>
    <row r="180" spans="1:109" ht="30.75" customHeight="1">
      <c r="A180" s="302"/>
      <c r="B180" s="303"/>
      <c r="C180" s="303"/>
      <c r="D180" s="303"/>
      <c r="E180" s="304"/>
      <c r="F180" s="74" t="s">
        <v>199</v>
      </c>
      <c r="G180" s="79">
        <f aca="true" t="shared" si="230" ref="G180:N180">IF(G179=0,"",завтракл*G179/1000)</f>
      </c>
      <c r="H180" s="45">
        <f t="shared" si="230"/>
      </c>
      <c r="I180" s="45">
        <f t="shared" si="230"/>
      </c>
      <c r="J180" s="45">
        <f t="shared" si="230"/>
      </c>
      <c r="K180" s="45">
        <f t="shared" si="230"/>
      </c>
      <c r="L180" s="45">
        <f t="shared" si="230"/>
      </c>
      <c r="M180" s="45">
        <f t="shared" si="230"/>
      </c>
      <c r="N180" s="89">
        <f t="shared" si="230"/>
      </c>
      <c r="O180" s="48">
        <f aca="true" t="shared" si="231" ref="O180:V180">IF(O179=0,"",обідл*O179/1000)</f>
      </c>
      <c r="P180" s="46">
        <f t="shared" si="231"/>
      </c>
      <c r="Q180" s="46">
        <f t="shared" si="231"/>
      </c>
      <c r="R180" s="46">
        <f t="shared" si="231"/>
      </c>
      <c r="S180" s="46">
        <f t="shared" si="231"/>
      </c>
      <c r="T180" s="46">
        <f t="shared" si="231"/>
      </c>
      <c r="U180" s="46">
        <f t="shared" si="231"/>
      </c>
      <c r="V180" s="46">
        <f t="shared" si="231"/>
      </c>
      <c r="W180" s="46">
        <f>IF(W179=0,"",полдникл*W179/1000)</f>
      </c>
      <c r="X180" s="46">
        <f>IF(X179=0,"",полдникл*X179/1000)</f>
      </c>
      <c r="Y180" s="89">
        <f>IF(Y179=0,"",полдникл*Y179/1000)</f>
      </c>
      <c r="Z180" s="48">
        <f aca="true" t="shared" si="232" ref="Z180:AG180">IF(Z179=0,"",ужинл*Z179/1000)</f>
      </c>
      <c r="AA180" s="46">
        <f t="shared" si="232"/>
      </c>
      <c r="AB180" s="46">
        <f t="shared" si="232"/>
      </c>
      <c r="AC180" s="46">
        <f t="shared" si="232"/>
      </c>
      <c r="AD180" s="46">
        <f t="shared" si="232"/>
      </c>
      <c r="AE180" s="46">
        <f t="shared" si="232"/>
      </c>
      <c r="AF180" s="46">
        <f t="shared" si="232"/>
      </c>
      <c r="AG180" s="89">
        <f t="shared" si="232"/>
      </c>
      <c r="AH180" s="153"/>
      <c r="AI180" s="161"/>
      <c r="AJ180" s="162"/>
      <c r="AK180" s="154"/>
      <c r="AL180" s="154"/>
      <c r="AM180" s="214"/>
      <c r="AN180" s="156"/>
      <c r="AP180">
        <v>177</v>
      </c>
      <c r="AQ180" s="61" t="s">
        <v>313</v>
      </c>
      <c r="AZ180">
        <v>5</v>
      </c>
      <c r="BD180">
        <v>24</v>
      </c>
      <c r="CG180">
        <v>180</v>
      </c>
      <c r="DE180" s="107" t="s">
        <v>314</v>
      </c>
    </row>
    <row r="181" spans="1:113" ht="30.75" customHeight="1">
      <c r="A181" s="210" t="s">
        <v>355</v>
      </c>
      <c r="B181" s="210"/>
      <c r="C181" s="210"/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97" t="s">
        <v>209</v>
      </c>
      <c r="X181" s="298"/>
      <c r="Y181" s="298"/>
      <c r="Z181" s="298"/>
      <c r="AA181" s="298"/>
      <c r="AB181" s="298"/>
      <c r="AC181" s="298"/>
      <c r="AD181" s="298"/>
      <c r="AE181" s="298"/>
      <c r="AF181" s="298"/>
      <c r="AG181" s="298"/>
      <c r="AH181" s="60" t="s">
        <v>280</v>
      </c>
      <c r="AI181" s="60"/>
      <c r="AJ181" s="60"/>
      <c r="AK181" s="60"/>
      <c r="AL181" s="60"/>
      <c r="AM181" s="305">
        <f>SUM(AN25:AN180)</f>
        <v>1560.27856</v>
      </c>
      <c r="AN181" s="305"/>
      <c r="AP181">
        <v>178</v>
      </c>
      <c r="AQ181" s="61" t="s">
        <v>318</v>
      </c>
      <c r="AX181">
        <v>87</v>
      </c>
      <c r="BJ181">
        <v>0.2</v>
      </c>
      <c r="BL181">
        <v>2</v>
      </c>
      <c r="DE181" s="61">
        <v>75</v>
      </c>
      <c r="DI181">
        <v>2</v>
      </c>
    </row>
    <row r="182" spans="1:109" ht="12.75" customHeight="1">
      <c r="A182" s="55"/>
      <c r="B182" s="55"/>
      <c r="C182" s="55"/>
      <c r="D182" s="55"/>
      <c r="E182" s="55"/>
      <c r="F182" s="54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7"/>
      <c r="V182" s="27"/>
      <c r="W182" s="27"/>
      <c r="X182" s="27"/>
      <c r="Y182" s="27"/>
      <c r="Z182" s="27"/>
      <c r="AA182" s="27"/>
      <c r="AB182" s="27"/>
      <c r="AC182" s="27"/>
      <c r="AD182" s="27"/>
      <c r="AE182" s="27"/>
      <c r="AF182" s="27"/>
      <c r="AG182" s="27"/>
      <c r="AH182" s="17"/>
      <c r="AI182" s="17"/>
      <c r="AP182">
        <v>179</v>
      </c>
      <c r="AQ182" s="61" t="s">
        <v>319</v>
      </c>
      <c r="BC182">
        <v>7.6</v>
      </c>
      <c r="CG182">
        <v>240.3</v>
      </c>
      <c r="DC182">
        <v>0.2</v>
      </c>
      <c r="DE182" s="61">
        <v>150</v>
      </c>
    </row>
    <row r="183" spans="1:109" ht="12.75" customHeight="1">
      <c r="A183" s="201" t="s">
        <v>174</v>
      </c>
      <c r="B183" s="202"/>
      <c r="C183" s="202"/>
      <c r="D183" s="203"/>
      <c r="E183" s="55"/>
      <c r="F183" s="54"/>
      <c r="G183" s="32"/>
      <c r="H183" s="37"/>
      <c r="I183" s="37"/>
      <c r="J183" s="37"/>
      <c r="K183" s="37"/>
      <c r="L183" s="37"/>
      <c r="M183" s="32"/>
      <c r="N183" s="32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F183" s="37"/>
      <c r="AG183" s="37"/>
      <c r="AH183" s="17"/>
      <c r="AI183" s="17"/>
      <c r="AP183">
        <v>180</v>
      </c>
      <c r="AQ183" s="61" t="s">
        <v>320</v>
      </c>
      <c r="BM183">
        <v>1</v>
      </c>
      <c r="BW183">
        <v>3.4</v>
      </c>
      <c r="CU183">
        <v>0.8</v>
      </c>
      <c r="DE183" s="61">
        <v>30</v>
      </c>
    </row>
    <row r="184" spans="1:109" ht="12.75" customHeight="1">
      <c r="A184" s="204"/>
      <c r="B184" s="205"/>
      <c r="C184" s="205"/>
      <c r="D184" s="206"/>
      <c r="E184" s="55"/>
      <c r="F184" s="54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7"/>
      <c r="T184" s="27"/>
      <c r="U184" s="27"/>
      <c r="V184" s="27"/>
      <c r="W184" s="27"/>
      <c r="X184" s="27"/>
      <c r="Y184" s="27"/>
      <c r="Z184" s="27"/>
      <c r="AA184" s="27"/>
      <c r="AB184" s="27"/>
      <c r="AC184" s="27"/>
      <c r="AD184" s="27"/>
      <c r="AE184" s="27"/>
      <c r="AF184" s="27"/>
      <c r="AG184" s="27"/>
      <c r="AH184" s="17"/>
      <c r="AI184" s="17"/>
      <c r="AP184">
        <v>181</v>
      </c>
      <c r="AQ184" s="61"/>
      <c r="DE184" s="61"/>
    </row>
    <row r="185" spans="1:109" ht="12.75" customHeight="1">
      <c r="A185" s="204"/>
      <c r="B185" s="205"/>
      <c r="C185" s="205"/>
      <c r="D185" s="206"/>
      <c r="E185" s="55"/>
      <c r="F185" s="54"/>
      <c r="G185" s="32"/>
      <c r="H185" s="37"/>
      <c r="I185" s="37"/>
      <c r="J185" s="37"/>
      <c r="K185" s="37"/>
      <c r="L185" s="37"/>
      <c r="M185" s="32"/>
      <c r="N185" s="32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F185" s="37"/>
      <c r="AG185" s="37"/>
      <c r="AH185" s="17"/>
      <c r="AI185" s="17"/>
      <c r="AP185">
        <v>182</v>
      </c>
      <c r="AQ185" s="61" t="s">
        <v>322</v>
      </c>
      <c r="BC185">
        <v>2.5</v>
      </c>
      <c r="CO185">
        <v>54.4</v>
      </c>
      <c r="CR185">
        <v>10.2</v>
      </c>
      <c r="DE185" s="61">
        <v>50</v>
      </c>
    </row>
    <row r="186" spans="1:109" ht="12.75" customHeight="1">
      <c r="A186" s="204"/>
      <c r="B186" s="205"/>
      <c r="C186" s="205"/>
      <c r="D186" s="206"/>
      <c r="E186" s="55"/>
      <c r="F186" s="54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7"/>
      <c r="T186" s="27"/>
      <c r="U186" s="27"/>
      <c r="V186" s="27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17"/>
      <c r="AI186" s="17"/>
      <c r="AP186">
        <v>183</v>
      </c>
      <c r="AQ186" s="61" t="s">
        <v>323</v>
      </c>
      <c r="AZ186">
        <v>3</v>
      </c>
      <c r="BD186">
        <v>15</v>
      </c>
      <c r="BJ186">
        <v>0.08</v>
      </c>
      <c r="BL186">
        <v>40</v>
      </c>
      <c r="BW186">
        <v>5</v>
      </c>
      <c r="BY186">
        <v>10</v>
      </c>
      <c r="CZ186">
        <v>1</v>
      </c>
      <c r="DE186" s="61">
        <v>80</v>
      </c>
    </row>
    <row r="187" spans="1:109" ht="12.75" customHeight="1">
      <c r="A187" s="204"/>
      <c r="B187" s="205"/>
      <c r="C187" s="205"/>
      <c r="D187" s="206"/>
      <c r="E187" s="55"/>
      <c r="F187" s="54"/>
      <c r="G187" s="32"/>
      <c r="H187" s="37"/>
      <c r="I187" s="37"/>
      <c r="J187" s="37"/>
      <c r="K187" s="37"/>
      <c r="L187" s="37"/>
      <c r="M187" s="32"/>
      <c r="N187" s="32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F187" s="37"/>
      <c r="AG187" s="37"/>
      <c r="AH187" s="17"/>
      <c r="AI187" s="17"/>
      <c r="AP187">
        <v>184</v>
      </c>
      <c r="AQ187" s="61" t="s">
        <v>324</v>
      </c>
      <c r="AZ187">
        <v>107</v>
      </c>
      <c r="BD187">
        <v>93</v>
      </c>
      <c r="BL187">
        <v>5.2</v>
      </c>
      <c r="CG187">
        <v>176</v>
      </c>
      <c r="DE187" s="61">
        <v>150</v>
      </c>
    </row>
    <row r="188" spans="1:113" ht="12.75" customHeight="1">
      <c r="A188" s="204"/>
      <c r="B188" s="205"/>
      <c r="C188" s="205"/>
      <c r="D188" s="206"/>
      <c r="E188" s="55"/>
      <c r="F188" s="54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7"/>
      <c r="T188" s="27"/>
      <c r="U188" s="27"/>
      <c r="V188" s="27"/>
      <c r="W188" s="27"/>
      <c r="X188" s="27"/>
      <c r="Y188" s="27"/>
      <c r="Z188" s="27"/>
      <c r="AA188" s="27"/>
      <c r="AB188" s="27"/>
      <c r="AC188" s="27"/>
      <c r="AD188" s="27"/>
      <c r="AE188" s="27"/>
      <c r="AF188" s="27"/>
      <c r="AG188" s="27"/>
      <c r="AH188" s="17"/>
      <c r="AI188" s="17"/>
      <c r="AP188">
        <v>185</v>
      </c>
      <c r="AQ188" s="61" t="s">
        <v>325</v>
      </c>
      <c r="AT188">
        <v>44.4</v>
      </c>
      <c r="BJ188">
        <v>0.1</v>
      </c>
      <c r="BL188">
        <v>5</v>
      </c>
      <c r="CQ188">
        <v>10</v>
      </c>
      <c r="DE188" s="61">
        <v>50</v>
      </c>
      <c r="DI188">
        <v>5</v>
      </c>
    </row>
    <row r="189" spans="1:109" ht="12.75" customHeight="1">
      <c r="A189" s="204"/>
      <c r="B189" s="205"/>
      <c r="C189" s="205"/>
      <c r="D189" s="206"/>
      <c r="E189" s="55"/>
      <c r="F189" s="54"/>
      <c r="G189" s="32"/>
      <c r="H189" s="37"/>
      <c r="I189" s="37"/>
      <c r="J189" s="37"/>
      <c r="K189" s="37"/>
      <c r="L189" s="37"/>
      <c r="M189" s="32"/>
      <c r="N189" s="32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F189" s="37"/>
      <c r="AG189" s="37"/>
      <c r="AH189" s="17"/>
      <c r="AI189" s="17"/>
      <c r="AP189">
        <v>186</v>
      </c>
      <c r="AQ189" s="61" t="s">
        <v>326</v>
      </c>
      <c r="AZ189">
        <v>3</v>
      </c>
      <c r="BD189">
        <v>46.5</v>
      </c>
      <c r="BT189">
        <v>35.6</v>
      </c>
      <c r="DE189" s="61">
        <v>150</v>
      </c>
    </row>
    <row r="190" spans="1:109" ht="12.75" customHeight="1">
      <c r="A190" s="204"/>
      <c r="B190" s="205"/>
      <c r="C190" s="205"/>
      <c r="D190" s="206"/>
      <c r="E190" s="55"/>
      <c r="F190" s="54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7"/>
      <c r="T190" s="27"/>
      <c r="U190" s="27"/>
      <c r="V190" s="27"/>
      <c r="W190" s="27"/>
      <c r="X190" s="27"/>
      <c r="Y190" s="27"/>
      <c r="Z190" s="27"/>
      <c r="AA190" s="27"/>
      <c r="AB190" s="27"/>
      <c r="AC190" s="27"/>
      <c r="AD190" s="27"/>
      <c r="AE190" s="27"/>
      <c r="AF190" s="27"/>
      <c r="AG190" s="27"/>
      <c r="AH190" s="17"/>
      <c r="AI190" s="17"/>
      <c r="AP190">
        <v>187</v>
      </c>
      <c r="AQ190" s="61" t="s">
        <v>330</v>
      </c>
      <c r="AT190">
        <v>27</v>
      </c>
      <c r="AZ190">
        <v>4</v>
      </c>
      <c r="BN190">
        <v>47</v>
      </c>
      <c r="CK190">
        <v>66</v>
      </c>
      <c r="DE190" s="61">
        <v>200</v>
      </c>
    </row>
    <row r="191" spans="1:109" ht="12.75" customHeight="1">
      <c r="A191" s="204"/>
      <c r="B191" s="205"/>
      <c r="C191" s="205"/>
      <c r="D191" s="206"/>
      <c r="E191" s="55"/>
      <c r="F191" s="54"/>
      <c r="G191" s="32"/>
      <c r="H191" s="37"/>
      <c r="I191" s="37"/>
      <c r="J191" s="37"/>
      <c r="K191" s="37"/>
      <c r="L191" s="37"/>
      <c r="M191" s="32"/>
      <c r="N191" s="32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F191" s="37"/>
      <c r="AG191" s="37"/>
      <c r="AH191" s="17"/>
      <c r="AI191" s="17"/>
      <c r="AP191">
        <v>188</v>
      </c>
      <c r="AQ191" s="61" t="s">
        <v>334</v>
      </c>
      <c r="AZ191">
        <v>8.5</v>
      </c>
      <c r="BD191">
        <v>85.4</v>
      </c>
      <c r="BI191">
        <v>21.5</v>
      </c>
      <c r="BL191">
        <v>8.6</v>
      </c>
      <c r="BS191">
        <v>19.6</v>
      </c>
      <c r="DE191" s="61">
        <v>150</v>
      </c>
    </row>
    <row r="192" spans="1:113" ht="12.75" customHeight="1">
      <c r="A192" s="204"/>
      <c r="B192" s="205"/>
      <c r="C192" s="205"/>
      <c r="D192" s="206"/>
      <c r="E192" s="55"/>
      <c r="F192" s="54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  <c r="Y192" s="27"/>
      <c r="Z192" s="27"/>
      <c r="AA192" s="27"/>
      <c r="AB192" s="27"/>
      <c r="AC192" s="27"/>
      <c r="AD192" s="27"/>
      <c r="AE192" s="27"/>
      <c r="AF192" s="27"/>
      <c r="AG192" s="27"/>
      <c r="AH192" s="17"/>
      <c r="AI192" s="17"/>
      <c r="AP192">
        <v>189</v>
      </c>
      <c r="AQ192" s="61" t="s">
        <v>335</v>
      </c>
      <c r="AT192">
        <v>104</v>
      </c>
      <c r="BJ192">
        <v>0.1</v>
      </c>
      <c r="BL192">
        <v>7.7</v>
      </c>
      <c r="DE192" s="61">
        <v>75</v>
      </c>
      <c r="DI192">
        <v>5</v>
      </c>
    </row>
    <row r="193" spans="1:113" ht="12.75" customHeight="1">
      <c r="A193" s="204"/>
      <c r="B193" s="205"/>
      <c r="C193" s="205"/>
      <c r="D193" s="206"/>
      <c r="E193" s="55"/>
      <c r="F193" s="54"/>
      <c r="G193" s="32"/>
      <c r="H193" s="37"/>
      <c r="I193" s="37"/>
      <c r="J193" s="37"/>
      <c r="K193" s="37"/>
      <c r="L193" s="37"/>
      <c r="M193" s="32"/>
      <c r="N193" s="32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F193" s="37"/>
      <c r="AG193" s="37"/>
      <c r="AH193" s="17"/>
      <c r="AI193" s="17"/>
      <c r="AP193">
        <v>190</v>
      </c>
      <c r="AQ193" s="61" t="s">
        <v>336</v>
      </c>
      <c r="AT193">
        <v>104</v>
      </c>
      <c r="BJ193">
        <v>0.1</v>
      </c>
      <c r="BL193">
        <v>7.7</v>
      </c>
      <c r="DE193" s="61">
        <v>75</v>
      </c>
      <c r="DI193">
        <v>13.5</v>
      </c>
    </row>
    <row r="194" spans="1:121" ht="12.75" customHeight="1">
      <c r="A194" s="204"/>
      <c r="B194" s="205"/>
      <c r="C194" s="205"/>
      <c r="D194" s="206"/>
      <c r="E194" s="55"/>
      <c r="F194" s="54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7"/>
      <c r="T194" s="27"/>
      <c r="U194" s="27"/>
      <c r="V194" s="27"/>
      <c r="W194" s="27"/>
      <c r="X194" s="27"/>
      <c r="Y194" s="27"/>
      <c r="Z194" s="27"/>
      <c r="AA194" s="27"/>
      <c r="AB194" s="27"/>
      <c r="AC194" s="27"/>
      <c r="AD194" s="27"/>
      <c r="AE194" s="27"/>
      <c r="AF194" s="27"/>
      <c r="AG194" s="27"/>
      <c r="AH194" s="17"/>
      <c r="AI194" s="17"/>
      <c r="AP194">
        <v>191</v>
      </c>
      <c r="AQ194" s="61" t="s">
        <v>337</v>
      </c>
      <c r="BC194">
        <v>3</v>
      </c>
      <c r="CG194">
        <v>88.4</v>
      </c>
      <c r="CH194">
        <v>30</v>
      </c>
      <c r="CI194">
        <v>14.4</v>
      </c>
      <c r="CJ194">
        <v>15.3</v>
      </c>
      <c r="DE194" s="61">
        <v>300</v>
      </c>
      <c r="DQ194">
        <v>9.9</v>
      </c>
    </row>
    <row r="195" spans="1:109" ht="12.75" customHeight="1">
      <c r="A195" s="204"/>
      <c r="B195" s="205"/>
      <c r="C195" s="205"/>
      <c r="D195" s="206"/>
      <c r="E195" s="55"/>
      <c r="F195" s="54"/>
      <c r="G195" s="32"/>
      <c r="H195" s="37"/>
      <c r="I195" s="37"/>
      <c r="J195" s="37"/>
      <c r="K195" s="37"/>
      <c r="L195" s="37"/>
      <c r="M195" s="32"/>
      <c r="N195" s="32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F195" s="37"/>
      <c r="AG195" s="37"/>
      <c r="AH195" s="17"/>
      <c r="AI195" s="17"/>
      <c r="AP195">
        <v>192</v>
      </c>
      <c r="AQ195" s="61" t="s">
        <v>338</v>
      </c>
      <c r="AZ195">
        <v>6</v>
      </c>
      <c r="BR195">
        <v>24</v>
      </c>
      <c r="CG195">
        <v>15</v>
      </c>
      <c r="CI195">
        <v>14.4</v>
      </c>
      <c r="CM195">
        <v>9</v>
      </c>
      <c r="DE195" s="61">
        <v>300</v>
      </c>
    </row>
    <row r="196" spans="1:115" ht="12.75" customHeight="1">
      <c r="A196" s="204"/>
      <c r="B196" s="205"/>
      <c r="C196" s="205"/>
      <c r="D196" s="206"/>
      <c r="E196" s="55"/>
      <c r="F196" s="54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7"/>
      <c r="X196" s="27"/>
      <c r="Y196" s="27"/>
      <c r="Z196" s="27"/>
      <c r="AA196" s="27"/>
      <c r="AB196" s="27"/>
      <c r="AC196" s="27"/>
      <c r="AD196" s="27"/>
      <c r="AE196" s="27"/>
      <c r="AF196" s="27"/>
      <c r="AG196" s="27"/>
      <c r="AH196" s="17"/>
      <c r="AI196" s="17"/>
      <c r="AP196">
        <v>193</v>
      </c>
      <c r="AQ196" s="61" t="s">
        <v>340</v>
      </c>
      <c r="BC196">
        <v>3</v>
      </c>
      <c r="CO196">
        <v>41.1</v>
      </c>
      <c r="CQ196">
        <v>3</v>
      </c>
      <c r="DE196" s="61">
        <v>75</v>
      </c>
      <c r="DK196">
        <v>17.6</v>
      </c>
    </row>
    <row r="197" spans="1:109" ht="12.75" customHeight="1">
      <c r="A197" s="204"/>
      <c r="B197" s="205"/>
      <c r="C197" s="205"/>
      <c r="D197" s="206"/>
      <c r="E197" s="55"/>
      <c r="F197" s="54"/>
      <c r="G197" s="32"/>
      <c r="H197" s="37"/>
      <c r="I197" s="37"/>
      <c r="J197" s="37"/>
      <c r="K197" s="37"/>
      <c r="L197" s="37"/>
      <c r="M197" s="32"/>
      <c r="N197" s="32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F197" s="37"/>
      <c r="AG197" s="37"/>
      <c r="AH197" s="17"/>
      <c r="AI197" s="17"/>
      <c r="AP197">
        <v>194</v>
      </c>
      <c r="AQ197" s="61" t="s">
        <v>341</v>
      </c>
      <c r="BC197">
        <v>3.8</v>
      </c>
      <c r="CH197">
        <v>84.4</v>
      </c>
      <c r="CS197">
        <v>1</v>
      </c>
      <c r="DE197" s="61">
        <v>75</v>
      </c>
    </row>
    <row r="198" spans="1:109" ht="12.75" customHeight="1">
      <c r="A198" s="204"/>
      <c r="B198" s="205"/>
      <c r="C198" s="205"/>
      <c r="D198" s="206"/>
      <c r="E198" s="55"/>
      <c r="F198" s="54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7"/>
      <c r="T198" s="27"/>
      <c r="U198" s="27"/>
      <c r="V198" s="27"/>
      <c r="W198" s="27"/>
      <c r="X198" s="27"/>
      <c r="Y198" s="27"/>
      <c r="Z198" s="27"/>
      <c r="AA198" s="27"/>
      <c r="AB198" s="27"/>
      <c r="AC198" s="27"/>
      <c r="AD198" s="27"/>
      <c r="AE198" s="27"/>
      <c r="AF198" s="27"/>
      <c r="AG198" s="27"/>
      <c r="AH198" s="17"/>
      <c r="AI198" s="17"/>
      <c r="AP198">
        <v>195</v>
      </c>
      <c r="AQ198" s="61" t="s">
        <v>342</v>
      </c>
      <c r="BC198">
        <v>3.8</v>
      </c>
      <c r="CF198">
        <v>22.5</v>
      </c>
      <c r="CK198">
        <v>32.3</v>
      </c>
      <c r="CO198">
        <v>40.8</v>
      </c>
      <c r="DE198" s="61">
        <v>75</v>
      </c>
    </row>
    <row r="199" spans="1:115" ht="12.75" customHeight="1">
      <c r="A199" s="204"/>
      <c r="B199" s="205"/>
      <c r="C199" s="205"/>
      <c r="D199" s="206"/>
      <c r="E199" s="55"/>
      <c r="F199" s="54"/>
      <c r="G199" s="32"/>
      <c r="H199" s="37"/>
      <c r="I199" s="37"/>
      <c r="J199" s="37"/>
      <c r="K199" s="37"/>
      <c r="L199" s="37"/>
      <c r="M199" s="32"/>
      <c r="N199" s="32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F199" s="37"/>
      <c r="AG199" s="37"/>
      <c r="AH199" s="17"/>
      <c r="AI199" s="17"/>
      <c r="AP199">
        <v>196</v>
      </c>
      <c r="AQ199" s="61" t="s">
        <v>343</v>
      </c>
      <c r="BC199">
        <v>3.5</v>
      </c>
      <c r="CJ199">
        <v>16.3</v>
      </c>
      <c r="CL199">
        <v>26.8</v>
      </c>
      <c r="DE199" s="61">
        <v>100</v>
      </c>
      <c r="DG199">
        <v>6.8</v>
      </c>
      <c r="DK199">
        <v>20.4</v>
      </c>
    </row>
    <row r="200" spans="1:113" ht="12.75" customHeight="1">
      <c r="A200" s="204"/>
      <c r="B200" s="205"/>
      <c r="C200" s="205"/>
      <c r="D200" s="206"/>
      <c r="E200" s="55"/>
      <c r="F200" s="54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7"/>
      <c r="X200" s="27"/>
      <c r="Y200" s="27"/>
      <c r="Z200" s="27"/>
      <c r="AA200" s="27"/>
      <c r="AB200" s="27"/>
      <c r="AC200" s="27"/>
      <c r="AD200" s="27"/>
      <c r="AE200" s="27"/>
      <c r="AF200" s="27"/>
      <c r="AG200" s="27"/>
      <c r="AH200" s="17"/>
      <c r="AI200" s="17"/>
      <c r="AP200">
        <v>197</v>
      </c>
      <c r="AQ200" s="61" t="s">
        <v>345</v>
      </c>
      <c r="BC200">
        <v>3</v>
      </c>
      <c r="BG200">
        <v>3</v>
      </c>
      <c r="BJ200">
        <v>0.1</v>
      </c>
      <c r="BQ200">
        <v>41</v>
      </c>
      <c r="BW200">
        <v>6</v>
      </c>
      <c r="CT200">
        <v>60</v>
      </c>
      <c r="DE200" s="61">
        <v>150</v>
      </c>
      <c r="DI200">
        <v>3</v>
      </c>
    </row>
    <row r="201" spans="1:117" ht="12.75" customHeight="1">
      <c r="A201" s="204"/>
      <c r="B201" s="205"/>
      <c r="C201" s="205"/>
      <c r="D201" s="206"/>
      <c r="E201" s="55"/>
      <c r="F201" s="54"/>
      <c r="G201" s="32"/>
      <c r="H201" s="37"/>
      <c r="I201" s="37"/>
      <c r="J201" s="37"/>
      <c r="K201" s="37"/>
      <c r="L201" s="37"/>
      <c r="M201" s="32"/>
      <c r="N201" s="32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F201" s="37"/>
      <c r="AG201" s="37"/>
      <c r="AH201" s="17"/>
      <c r="AI201" s="17"/>
      <c r="AP201">
        <v>198</v>
      </c>
      <c r="AQ201" s="61" t="s">
        <v>346</v>
      </c>
      <c r="AZ201">
        <v>5.3</v>
      </c>
      <c r="BR201">
        <v>30</v>
      </c>
      <c r="BW201">
        <v>5.3</v>
      </c>
      <c r="CC201">
        <v>7.5</v>
      </c>
      <c r="CF201">
        <v>27</v>
      </c>
      <c r="DE201" s="61">
        <v>150</v>
      </c>
      <c r="DM201">
        <v>11.3</v>
      </c>
    </row>
    <row r="202" spans="1:109" ht="12.75" customHeight="1">
      <c r="A202" s="204"/>
      <c r="B202" s="205"/>
      <c r="C202" s="205"/>
      <c r="D202" s="206"/>
      <c r="E202" s="55"/>
      <c r="F202" s="54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27"/>
      <c r="Y202" s="27"/>
      <c r="Z202" s="27"/>
      <c r="AA202" s="27"/>
      <c r="AB202" s="27"/>
      <c r="AC202" s="27"/>
      <c r="AD202" s="27"/>
      <c r="AE202" s="27"/>
      <c r="AF202" s="27"/>
      <c r="AG202" s="27"/>
      <c r="AH202" s="17"/>
      <c r="AI202" s="17"/>
      <c r="AP202">
        <v>199</v>
      </c>
      <c r="AQ202" s="61" t="s">
        <v>352</v>
      </c>
      <c r="AZ202">
        <v>6</v>
      </c>
      <c r="BD202">
        <v>30</v>
      </c>
      <c r="BJ202">
        <v>0.2</v>
      </c>
      <c r="DE202" s="61">
        <v>116</v>
      </c>
    </row>
    <row r="203" spans="1:109" ht="12.75" customHeight="1">
      <c r="A203" s="204"/>
      <c r="B203" s="205"/>
      <c r="C203" s="205"/>
      <c r="D203" s="206"/>
      <c r="E203" s="55"/>
      <c r="F203" s="54"/>
      <c r="G203" s="32"/>
      <c r="H203" s="37"/>
      <c r="I203" s="37"/>
      <c r="J203" s="37"/>
      <c r="K203" s="37"/>
      <c r="L203" s="37"/>
      <c r="M203" s="32"/>
      <c r="N203" s="32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F203" s="37"/>
      <c r="AG203" s="37"/>
      <c r="AH203" s="17"/>
      <c r="AI203" s="17"/>
      <c r="AP203">
        <v>200</v>
      </c>
      <c r="AQ203" s="61" t="s">
        <v>353</v>
      </c>
      <c r="AZ203">
        <v>10</v>
      </c>
      <c r="BI203">
        <v>15</v>
      </c>
      <c r="BJ203">
        <v>0.2</v>
      </c>
      <c r="DE203" s="61">
        <v>90</v>
      </c>
    </row>
    <row r="204" spans="1:109" ht="12.75" customHeight="1">
      <c r="A204" s="204"/>
      <c r="B204" s="205"/>
      <c r="C204" s="205"/>
      <c r="D204" s="206"/>
      <c r="E204" s="55"/>
      <c r="F204" s="54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7"/>
      <c r="X204" s="27"/>
      <c r="Y204" s="27"/>
      <c r="Z204" s="27"/>
      <c r="AA204" s="27"/>
      <c r="AB204" s="27"/>
      <c r="AC204" s="27"/>
      <c r="AD204" s="27"/>
      <c r="AE204" s="27"/>
      <c r="AF204" s="27"/>
      <c r="AG204" s="27"/>
      <c r="AH204" s="17"/>
      <c r="AI204" s="17"/>
      <c r="AP204">
        <v>201</v>
      </c>
      <c r="AQ204" s="61" t="s">
        <v>354</v>
      </c>
      <c r="BC204">
        <v>10</v>
      </c>
      <c r="BL204">
        <v>47</v>
      </c>
      <c r="BW204">
        <v>10</v>
      </c>
      <c r="CF204">
        <v>21</v>
      </c>
      <c r="CZ204">
        <v>1</v>
      </c>
      <c r="DE204" s="61">
        <v>120</v>
      </c>
    </row>
    <row r="205" spans="1:35" ht="12.75" customHeight="1">
      <c r="A205" s="204"/>
      <c r="B205" s="205"/>
      <c r="C205" s="205"/>
      <c r="D205" s="206"/>
      <c r="E205" s="55"/>
      <c r="F205" s="54"/>
      <c r="G205" s="32"/>
      <c r="H205" s="37"/>
      <c r="I205" s="37"/>
      <c r="J205" s="37"/>
      <c r="K205" s="37"/>
      <c r="L205" s="37"/>
      <c r="M205" s="32"/>
      <c r="N205" s="32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F205" s="37"/>
      <c r="AG205" s="37"/>
      <c r="AH205" s="17"/>
      <c r="AI205" s="17"/>
    </row>
    <row r="206" spans="1:35" ht="12.75" customHeight="1">
      <c r="A206" s="204"/>
      <c r="B206" s="205"/>
      <c r="C206" s="205"/>
      <c r="D206" s="206"/>
      <c r="E206" s="55"/>
      <c r="F206" s="54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7"/>
      <c r="X206" s="27"/>
      <c r="Y206" s="27"/>
      <c r="Z206" s="27"/>
      <c r="AA206" s="27"/>
      <c r="AB206" s="27"/>
      <c r="AC206" s="27"/>
      <c r="AD206" s="27"/>
      <c r="AE206" s="27"/>
      <c r="AF206" s="27"/>
      <c r="AG206" s="27"/>
      <c r="AH206" s="17"/>
      <c r="AI206" s="17"/>
    </row>
    <row r="207" spans="1:35" ht="12.75" customHeight="1">
      <c r="A207" s="204"/>
      <c r="B207" s="205"/>
      <c r="C207" s="205"/>
      <c r="D207" s="206"/>
      <c r="E207" s="55"/>
      <c r="F207" s="54"/>
      <c r="G207" s="32"/>
      <c r="H207" s="37"/>
      <c r="I207" s="37"/>
      <c r="J207" s="37"/>
      <c r="K207" s="37"/>
      <c r="L207" s="37"/>
      <c r="M207" s="32"/>
      <c r="N207" s="32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F207" s="37"/>
      <c r="AG207" s="37"/>
      <c r="AH207" s="17"/>
      <c r="AI207" s="17"/>
    </row>
    <row r="208" spans="1:35" ht="12.75" customHeight="1">
      <c r="A208" s="204"/>
      <c r="B208" s="205"/>
      <c r="C208" s="205"/>
      <c r="D208" s="206"/>
      <c r="E208" s="55"/>
      <c r="F208" s="54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7"/>
      <c r="X208" s="27"/>
      <c r="Y208" s="27"/>
      <c r="Z208" s="27"/>
      <c r="AA208" s="27"/>
      <c r="AB208" s="27"/>
      <c r="AC208" s="27"/>
      <c r="AD208" s="27"/>
      <c r="AE208" s="27"/>
      <c r="AF208" s="27"/>
      <c r="AG208" s="27"/>
      <c r="AH208" s="17"/>
      <c r="AI208" s="17"/>
    </row>
    <row r="209" spans="1:35" ht="12.75" customHeight="1">
      <c r="A209" s="204"/>
      <c r="B209" s="205"/>
      <c r="C209" s="205"/>
      <c r="D209" s="206"/>
      <c r="E209" s="55"/>
      <c r="F209" s="54"/>
      <c r="G209" s="32"/>
      <c r="H209" s="37"/>
      <c r="I209" s="37"/>
      <c r="J209" s="37"/>
      <c r="K209" s="37"/>
      <c r="L209" s="37"/>
      <c r="M209" s="32"/>
      <c r="N209" s="32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F209" s="37"/>
      <c r="AG209" s="37"/>
      <c r="AH209" s="17"/>
      <c r="AI209" s="17"/>
    </row>
    <row r="210" spans="1:35" ht="12.75" customHeight="1">
      <c r="A210" s="204"/>
      <c r="B210" s="205"/>
      <c r="C210" s="205"/>
      <c r="D210" s="206"/>
      <c r="E210" s="55"/>
      <c r="F210" s="54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27"/>
      <c r="AG210" s="27"/>
      <c r="AH210" s="17"/>
      <c r="AI210" s="17"/>
    </row>
    <row r="211" spans="1:35" ht="12.75" customHeight="1">
      <c r="A211" s="204"/>
      <c r="B211" s="205"/>
      <c r="C211" s="205"/>
      <c r="D211" s="206"/>
      <c r="E211" s="55"/>
      <c r="F211" s="54"/>
      <c r="G211" s="32"/>
      <c r="H211" s="37"/>
      <c r="I211" s="37"/>
      <c r="J211" s="37"/>
      <c r="K211" s="37"/>
      <c r="L211" s="37"/>
      <c r="M211" s="32"/>
      <c r="N211" s="32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F211" s="37"/>
      <c r="AG211" s="37"/>
      <c r="AH211" s="17"/>
      <c r="AI211" s="17"/>
    </row>
    <row r="212" spans="1:35" ht="12.75" customHeight="1">
      <c r="A212" s="204"/>
      <c r="B212" s="205"/>
      <c r="C212" s="205"/>
      <c r="D212" s="206"/>
      <c r="E212" s="55"/>
      <c r="F212" s="54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27"/>
      <c r="AG212" s="27"/>
      <c r="AH212" s="17"/>
      <c r="AI212" s="17"/>
    </row>
    <row r="213" spans="1:35" ht="12.75" customHeight="1">
      <c r="A213" s="204"/>
      <c r="B213" s="205"/>
      <c r="C213" s="205"/>
      <c r="D213" s="206"/>
      <c r="E213" s="55"/>
      <c r="F213" s="54"/>
      <c r="G213" s="32"/>
      <c r="H213" s="37"/>
      <c r="I213" s="37"/>
      <c r="J213" s="37"/>
      <c r="K213" s="37"/>
      <c r="L213" s="37"/>
      <c r="M213" s="32"/>
      <c r="N213" s="32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F213" s="37"/>
      <c r="AG213" s="37"/>
      <c r="AH213" s="17"/>
      <c r="AI213" s="17"/>
    </row>
    <row r="214" spans="1:35" ht="12.75" customHeight="1">
      <c r="A214" s="207"/>
      <c r="B214" s="208"/>
      <c r="C214" s="208"/>
      <c r="D214" s="209"/>
      <c r="E214" s="55"/>
      <c r="F214" s="54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27"/>
      <c r="AG214" s="27"/>
      <c r="AH214" s="17"/>
      <c r="AI214" s="17"/>
    </row>
    <row r="215" spans="1:35" ht="12.75" customHeight="1">
      <c r="A215" s="55"/>
      <c r="B215" s="55"/>
      <c r="C215" s="55"/>
      <c r="D215" s="55"/>
      <c r="E215" s="55"/>
      <c r="F215" s="54"/>
      <c r="G215" s="32"/>
      <c r="H215" s="37"/>
      <c r="I215" s="37"/>
      <c r="J215" s="37"/>
      <c r="K215" s="37"/>
      <c r="L215" s="37"/>
      <c r="M215" s="32"/>
      <c r="N215" s="32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F215" s="37"/>
      <c r="AG215" s="37"/>
      <c r="AH215" s="17"/>
      <c r="AI215" s="17"/>
    </row>
    <row r="216" spans="1:35" ht="12.75" customHeight="1">
      <c r="A216" s="55"/>
      <c r="B216" s="55"/>
      <c r="C216" s="55"/>
      <c r="D216" s="55"/>
      <c r="E216" s="55"/>
      <c r="F216" s="54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27"/>
      <c r="AG216" s="27"/>
      <c r="AH216" s="17"/>
      <c r="AI216" s="17"/>
    </row>
    <row r="217" spans="1:35" ht="12.75" customHeight="1">
      <c r="A217" s="55"/>
      <c r="B217" s="55"/>
      <c r="C217" s="55"/>
      <c r="D217" s="55"/>
      <c r="E217" s="55"/>
      <c r="F217" s="54"/>
      <c r="G217" s="32"/>
      <c r="H217" s="37"/>
      <c r="I217" s="37"/>
      <c r="J217" s="37"/>
      <c r="K217" s="37"/>
      <c r="L217" s="37"/>
      <c r="M217" s="32"/>
      <c r="N217" s="32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  <c r="AE217" s="37"/>
      <c r="AF217" s="37"/>
      <c r="AG217" s="37"/>
      <c r="AH217" s="17"/>
      <c r="AI217" s="17"/>
    </row>
    <row r="218" spans="1:35" ht="12.75" customHeight="1">
      <c r="A218" s="55"/>
      <c r="B218" s="55"/>
      <c r="C218" s="55"/>
      <c r="D218" s="55"/>
      <c r="E218" s="55"/>
      <c r="F218" s="54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27"/>
      <c r="AG218" s="27"/>
      <c r="AH218" s="17"/>
      <c r="AI218" s="17"/>
    </row>
    <row r="219" spans="1:35" ht="12.75" customHeight="1">
      <c r="A219" s="55"/>
      <c r="B219" s="55"/>
      <c r="C219" s="55"/>
      <c r="D219" s="55"/>
      <c r="E219" s="55"/>
      <c r="F219" s="54"/>
      <c r="G219" s="32"/>
      <c r="H219" s="37"/>
      <c r="I219" s="37"/>
      <c r="J219" s="37"/>
      <c r="K219" s="37"/>
      <c r="L219" s="37"/>
      <c r="M219" s="32"/>
      <c r="N219" s="32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F219" s="37"/>
      <c r="AG219" s="37"/>
      <c r="AH219" s="17"/>
      <c r="AI219" s="17"/>
    </row>
    <row r="220" spans="1:35" ht="12.75" customHeight="1">
      <c r="A220" s="55"/>
      <c r="B220" s="55"/>
      <c r="C220" s="55"/>
      <c r="D220" s="55"/>
      <c r="E220" s="55"/>
      <c r="F220" s="54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27"/>
      <c r="AG220" s="27"/>
      <c r="AH220" s="17"/>
      <c r="AI220" s="17"/>
    </row>
    <row r="221" spans="1:35" ht="12.75" customHeight="1">
      <c r="A221" s="55"/>
      <c r="B221" s="55"/>
      <c r="C221" s="55"/>
      <c r="D221" s="55"/>
      <c r="E221" s="55"/>
      <c r="F221" s="54"/>
      <c r="G221" s="32"/>
      <c r="H221" s="37"/>
      <c r="I221" s="37"/>
      <c r="J221" s="37"/>
      <c r="K221" s="37"/>
      <c r="L221" s="37"/>
      <c r="M221" s="32"/>
      <c r="N221" s="32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  <c r="AE221" s="37"/>
      <c r="AF221" s="37"/>
      <c r="AG221" s="37"/>
      <c r="AH221" s="17"/>
      <c r="AI221" s="17"/>
    </row>
    <row r="222" spans="1:35" ht="12.75" customHeight="1">
      <c r="A222" s="284" t="s">
        <v>210</v>
      </c>
      <c r="B222" s="285"/>
      <c r="C222" s="285"/>
      <c r="D222" s="286"/>
      <c r="E222" s="55"/>
      <c r="F222" s="54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27"/>
      <c r="AG222" s="27"/>
      <c r="AH222" s="17"/>
      <c r="AI222" s="17"/>
    </row>
    <row r="223" spans="1:35" ht="12.75" customHeight="1">
      <c r="A223" s="287"/>
      <c r="B223" s="288"/>
      <c r="C223" s="288"/>
      <c r="D223" s="289"/>
      <c r="E223" s="56"/>
      <c r="F223" s="54"/>
      <c r="G223" s="32"/>
      <c r="H223" s="37"/>
      <c r="I223" s="37"/>
      <c r="J223" s="37"/>
      <c r="K223" s="37"/>
      <c r="L223" s="37"/>
      <c r="M223" s="32"/>
      <c r="N223" s="32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F223" s="37"/>
      <c r="AG223" s="37"/>
      <c r="AH223" s="17"/>
      <c r="AI223" s="17"/>
    </row>
    <row r="224" spans="1:35" ht="12.75" customHeight="1">
      <c r="A224" s="287"/>
      <c r="B224" s="288"/>
      <c r="C224" s="288"/>
      <c r="D224" s="289"/>
      <c r="E224" s="56"/>
      <c r="F224" s="54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27"/>
      <c r="AG224" s="27"/>
      <c r="AH224" s="17"/>
      <c r="AI224" s="17"/>
    </row>
    <row r="225" spans="1:35" ht="12.75" customHeight="1">
      <c r="A225" s="287"/>
      <c r="B225" s="288"/>
      <c r="C225" s="288"/>
      <c r="D225" s="289"/>
      <c r="E225" s="55"/>
      <c r="F225" s="54"/>
      <c r="G225" s="32"/>
      <c r="H225" s="37"/>
      <c r="I225" s="37"/>
      <c r="J225" s="37"/>
      <c r="K225" s="37"/>
      <c r="L225" s="37"/>
      <c r="M225" s="32"/>
      <c r="N225" s="32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F225" s="37"/>
      <c r="AG225" s="37"/>
      <c r="AH225" s="17"/>
      <c r="AI225" s="17"/>
    </row>
    <row r="226" spans="1:35" ht="12.75" customHeight="1">
      <c r="A226" s="287"/>
      <c r="B226" s="288"/>
      <c r="C226" s="288"/>
      <c r="D226" s="289"/>
      <c r="E226" s="55"/>
      <c r="F226" s="54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27"/>
      <c r="AG226" s="27"/>
      <c r="AH226" s="17"/>
      <c r="AI226" s="17"/>
    </row>
    <row r="227" spans="1:35" ht="12.75" customHeight="1">
      <c r="A227" s="287"/>
      <c r="B227" s="288"/>
      <c r="C227" s="288"/>
      <c r="D227" s="289"/>
      <c r="E227" s="57"/>
      <c r="F227" s="54"/>
      <c r="G227" s="32"/>
      <c r="H227" s="37"/>
      <c r="I227" s="37"/>
      <c r="J227" s="37"/>
      <c r="K227" s="37"/>
      <c r="L227" s="37"/>
      <c r="M227" s="32"/>
      <c r="N227" s="32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F227" s="37"/>
      <c r="AG227" s="37"/>
      <c r="AH227" s="17"/>
      <c r="AI227" s="17"/>
    </row>
    <row r="228" spans="1:35" ht="12.75" customHeight="1">
      <c r="A228" s="287"/>
      <c r="B228" s="288"/>
      <c r="C228" s="288"/>
      <c r="D228" s="289"/>
      <c r="E228" s="57"/>
      <c r="F228" s="54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27"/>
      <c r="AG228" s="27"/>
      <c r="AH228" s="17"/>
      <c r="AI228" s="17"/>
    </row>
    <row r="229" spans="1:35" ht="12.75" customHeight="1">
      <c r="A229" s="287"/>
      <c r="B229" s="288"/>
      <c r="C229" s="288"/>
      <c r="D229" s="289"/>
      <c r="E229" s="55"/>
      <c r="F229" s="54"/>
      <c r="G229" s="32"/>
      <c r="H229" s="37"/>
      <c r="I229" s="37"/>
      <c r="J229" s="37"/>
      <c r="K229" s="37"/>
      <c r="L229" s="37"/>
      <c r="M229" s="32"/>
      <c r="N229" s="32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F229" s="37"/>
      <c r="AG229" s="37"/>
      <c r="AH229" s="17"/>
      <c r="AI229" s="17"/>
    </row>
    <row r="230" spans="1:35" ht="12.75" customHeight="1">
      <c r="A230" s="287"/>
      <c r="B230" s="288"/>
      <c r="C230" s="288"/>
      <c r="D230" s="289"/>
      <c r="E230" s="55"/>
      <c r="F230" s="54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27"/>
      <c r="AG230" s="27"/>
      <c r="AH230" s="17"/>
      <c r="AI230" s="17"/>
    </row>
    <row r="231" spans="1:35" ht="12.75" customHeight="1">
      <c r="A231" s="287"/>
      <c r="B231" s="288"/>
      <c r="C231" s="288"/>
      <c r="D231" s="289"/>
      <c r="E231" s="55"/>
      <c r="F231" s="54"/>
      <c r="G231" s="32"/>
      <c r="H231" s="37"/>
      <c r="I231" s="37"/>
      <c r="J231" s="37"/>
      <c r="K231" s="37"/>
      <c r="L231" s="37"/>
      <c r="M231" s="32"/>
      <c r="N231" s="32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F231" s="37"/>
      <c r="AG231" s="37"/>
      <c r="AH231" s="17"/>
      <c r="AI231" s="17"/>
    </row>
    <row r="232" spans="1:35" ht="12.75" customHeight="1">
      <c r="A232" s="287"/>
      <c r="B232" s="288"/>
      <c r="C232" s="288"/>
      <c r="D232" s="289"/>
      <c r="E232" s="55"/>
      <c r="F232" s="54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27"/>
      <c r="AG232" s="27"/>
      <c r="AH232" s="17"/>
      <c r="AI232" s="17"/>
    </row>
    <row r="233" spans="1:35" ht="12.75" customHeight="1">
      <c r="A233" s="287"/>
      <c r="B233" s="288"/>
      <c r="C233" s="288"/>
      <c r="D233" s="289"/>
      <c r="E233" s="55"/>
      <c r="F233" s="54"/>
      <c r="G233" s="32"/>
      <c r="H233" s="37"/>
      <c r="I233" s="37"/>
      <c r="J233" s="37"/>
      <c r="K233" s="37"/>
      <c r="L233" s="37"/>
      <c r="M233" s="32"/>
      <c r="N233" s="32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  <c r="AE233" s="37"/>
      <c r="AF233" s="37"/>
      <c r="AG233" s="37"/>
      <c r="AH233" s="17"/>
      <c r="AI233" s="17"/>
    </row>
    <row r="234" spans="1:35" ht="12.75" customHeight="1">
      <c r="A234" s="287"/>
      <c r="B234" s="288"/>
      <c r="C234" s="288"/>
      <c r="D234" s="289"/>
      <c r="E234" s="55"/>
      <c r="F234" s="54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27"/>
      <c r="AG234" s="27"/>
      <c r="AH234" s="17"/>
      <c r="AI234" s="17"/>
    </row>
    <row r="235" spans="1:35" ht="12.75" customHeight="1">
      <c r="A235" s="287"/>
      <c r="B235" s="288"/>
      <c r="C235" s="288"/>
      <c r="D235" s="289"/>
      <c r="E235" s="55"/>
      <c r="F235" s="54"/>
      <c r="G235" s="32"/>
      <c r="H235" s="37"/>
      <c r="I235" s="37"/>
      <c r="J235" s="37"/>
      <c r="K235" s="37"/>
      <c r="L235" s="37"/>
      <c r="M235" s="32"/>
      <c r="N235" s="32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  <c r="AE235" s="37"/>
      <c r="AF235" s="37"/>
      <c r="AG235" s="37"/>
      <c r="AH235" s="17"/>
      <c r="AI235" s="17"/>
    </row>
    <row r="236" spans="1:35" ht="12.75" customHeight="1">
      <c r="A236" s="287"/>
      <c r="B236" s="288"/>
      <c r="C236" s="288"/>
      <c r="D236" s="289"/>
      <c r="E236" s="55"/>
      <c r="F236" s="54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27"/>
      <c r="AG236" s="27"/>
      <c r="AH236" s="17"/>
      <c r="AI236" s="17"/>
    </row>
    <row r="237" spans="1:35" ht="12.75" customHeight="1">
      <c r="A237" s="287"/>
      <c r="B237" s="288"/>
      <c r="C237" s="288"/>
      <c r="D237" s="289"/>
      <c r="E237" s="55"/>
      <c r="F237" s="54"/>
      <c r="G237" s="32"/>
      <c r="H237" s="37"/>
      <c r="I237" s="37"/>
      <c r="J237" s="37"/>
      <c r="K237" s="37"/>
      <c r="L237" s="37"/>
      <c r="M237" s="32"/>
      <c r="N237" s="32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F237" s="37"/>
      <c r="AG237" s="37"/>
      <c r="AH237" s="17"/>
      <c r="AI237" s="17"/>
    </row>
    <row r="238" spans="1:35" ht="12.75" customHeight="1">
      <c r="A238" s="287"/>
      <c r="B238" s="288"/>
      <c r="C238" s="288"/>
      <c r="D238" s="289"/>
      <c r="E238" s="55"/>
      <c r="F238" s="54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27"/>
      <c r="AG238" s="27"/>
      <c r="AH238" s="17"/>
      <c r="AI238" s="17"/>
    </row>
    <row r="239" spans="1:35" ht="12.75" customHeight="1">
      <c r="A239" s="287"/>
      <c r="B239" s="288"/>
      <c r="C239" s="288"/>
      <c r="D239" s="289"/>
      <c r="E239" s="57"/>
      <c r="F239" s="54"/>
      <c r="G239" s="32"/>
      <c r="H239" s="32"/>
      <c r="I239" s="32"/>
      <c r="J239" s="32"/>
      <c r="K239" s="32"/>
      <c r="L239" s="32"/>
      <c r="M239" s="32"/>
      <c r="N239" s="32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  <c r="AE239" s="37"/>
      <c r="AF239" s="37"/>
      <c r="AG239" s="37"/>
      <c r="AH239" s="17"/>
      <c r="AI239" s="17"/>
    </row>
    <row r="240" spans="1:35" ht="12.75" customHeight="1">
      <c r="A240" s="287"/>
      <c r="B240" s="288"/>
      <c r="C240" s="288"/>
      <c r="D240" s="289"/>
      <c r="E240" s="57"/>
      <c r="F240" s="54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27"/>
      <c r="AG240" s="27"/>
      <c r="AH240" s="17"/>
      <c r="AI240" s="17"/>
    </row>
    <row r="241" spans="1:35" ht="12.75" customHeight="1">
      <c r="A241" s="287"/>
      <c r="B241" s="288"/>
      <c r="C241" s="288"/>
      <c r="D241" s="289"/>
      <c r="E241" s="55"/>
      <c r="F241" s="54"/>
      <c r="G241" s="32"/>
      <c r="H241" s="32"/>
      <c r="I241" s="32"/>
      <c r="J241" s="32"/>
      <c r="K241" s="32"/>
      <c r="L241" s="32"/>
      <c r="M241" s="32"/>
      <c r="N241" s="32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  <c r="AE241" s="37"/>
      <c r="AF241" s="37"/>
      <c r="AG241" s="37"/>
      <c r="AH241" s="17"/>
      <c r="AI241" s="17"/>
    </row>
    <row r="242" spans="1:35" ht="12.75" customHeight="1">
      <c r="A242" s="287"/>
      <c r="B242" s="288"/>
      <c r="C242" s="288"/>
      <c r="D242" s="289"/>
      <c r="E242" s="55"/>
      <c r="F242" s="54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27"/>
      <c r="AG242" s="27"/>
      <c r="AH242" s="17"/>
      <c r="AI242" s="17"/>
    </row>
    <row r="243" spans="1:35" ht="12.75" customHeight="1">
      <c r="A243" s="287"/>
      <c r="B243" s="288"/>
      <c r="C243" s="288"/>
      <c r="D243" s="289"/>
      <c r="E243" s="55"/>
      <c r="F243" s="54"/>
      <c r="G243" s="32"/>
      <c r="H243" s="32"/>
      <c r="I243" s="32"/>
      <c r="J243" s="32"/>
      <c r="K243" s="32"/>
      <c r="L243" s="32"/>
      <c r="M243" s="32"/>
      <c r="N243" s="32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F243" s="37"/>
      <c r="AG243" s="37"/>
      <c r="AH243" s="17"/>
      <c r="AI243" s="17"/>
    </row>
    <row r="244" spans="1:35" ht="12.75" customHeight="1">
      <c r="A244" s="287"/>
      <c r="B244" s="288"/>
      <c r="C244" s="288"/>
      <c r="D244" s="289"/>
      <c r="E244" s="55"/>
      <c r="F244" s="54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27"/>
      <c r="AG244" s="27"/>
      <c r="AH244" s="17"/>
      <c r="AI244" s="17"/>
    </row>
    <row r="245" spans="1:35" ht="12.75" customHeight="1">
      <c r="A245" s="287"/>
      <c r="B245" s="288"/>
      <c r="C245" s="288"/>
      <c r="D245" s="289"/>
      <c r="E245" s="55"/>
      <c r="F245" s="54"/>
      <c r="G245" s="32"/>
      <c r="H245" s="37"/>
      <c r="I245" s="37"/>
      <c r="J245" s="37"/>
      <c r="K245" s="37"/>
      <c r="L245" s="37"/>
      <c r="M245" s="32"/>
      <c r="N245" s="32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F245" s="37"/>
      <c r="AG245" s="37"/>
      <c r="AH245" s="17"/>
      <c r="AI245" s="17"/>
    </row>
    <row r="246" spans="1:35" ht="12.75" customHeight="1">
      <c r="A246" s="287"/>
      <c r="B246" s="288"/>
      <c r="C246" s="288"/>
      <c r="D246" s="289"/>
      <c r="E246" s="55"/>
      <c r="F246" s="54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7"/>
      <c r="X246" s="27"/>
      <c r="Y246" s="27"/>
      <c r="Z246" s="27"/>
      <c r="AA246" s="27"/>
      <c r="AB246" s="27"/>
      <c r="AC246" s="27"/>
      <c r="AD246" s="27"/>
      <c r="AE246" s="27"/>
      <c r="AF246" s="27"/>
      <c r="AG246" s="27"/>
      <c r="AH246" s="17"/>
      <c r="AI246" s="17"/>
    </row>
    <row r="247" spans="1:35" ht="12.75" customHeight="1">
      <c r="A247" s="287"/>
      <c r="B247" s="288"/>
      <c r="C247" s="288"/>
      <c r="D247" s="289"/>
      <c r="E247" s="55"/>
      <c r="F247" s="54"/>
      <c r="G247" s="32"/>
      <c r="H247" s="37"/>
      <c r="I247" s="37"/>
      <c r="J247" s="37"/>
      <c r="K247" s="37"/>
      <c r="L247" s="37"/>
      <c r="M247" s="32"/>
      <c r="N247" s="32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F247" s="37"/>
      <c r="AG247" s="37"/>
      <c r="AH247" s="17"/>
      <c r="AI247" s="17"/>
    </row>
    <row r="248" spans="1:35" ht="12.75" customHeight="1">
      <c r="A248" s="287"/>
      <c r="B248" s="288"/>
      <c r="C248" s="288"/>
      <c r="D248" s="289"/>
      <c r="E248" s="55"/>
      <c r="F248" s="54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7"/>
      <c r="X248" s="27"/>
      <c r="Y248" s="27"/>
      <c r="Z248" s="27"/>
      <c r="AA248" s="27"/>
      <c r="AB248" s="27"/>
      <c r="AC248" s="27"/>
      <c r="AD248" s="27"/>
      <c r="AE248" s="27"/>
      <c r="AF248" s="27"/>
      <c r="AG248" s="27"/>
      <c r="AH248" s="17"/>
      <c r="AI248" s="17"/>
    </row>
    <row r="249" spans="1:35" ht="12.75" customHeight="1">
      <c r="A249" s="287"/>
      <c r="B249" s="288"/>
      <c r="C249" s="288"/>
      <c r="D249" s="289"/>
      <c r="E249" s="55"/>
      <c r="F249" s="54"/>
      <c r="G249" s="32"/>
      <c r="H249" s="37"/>
      <c r="I249" s="37"/>
      <c r="J249" s="37"/>
      <c r="K249" s="37"/>
      <c r="L249" s="37"/>
      <c r="M249" s="32"/>
      <c r="N249" s="32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F249" s="37"/>
      <c r="AG249" s="37"/>
      <c r="AH249" s="17"/>
      <c r="AI249" s="17"/>
    </row>
    <row r="250" spans="1:35" ht="12.75" customHeight="1">
      <c r="A250" s="287"/>
      <c r="B250" s="288"/>
      <c r="C250" s="288"/>
      <c r="D250" s="289"/>
      <c r="E250" s="55"/>
      <c r="F250" s="54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7"/>
      <c r="X250" s="27"/>
      <c r="Y250" s="27"/>
      <c r="Z250" s="27"/>
      <c r="AA250" s="27"/>
      <c r="AB250" s="27"/>
      <c r="AC250" s="27"/>
      <c r="AD250" s="27"/>
      <c r="AE250" s="27"/>
      <c r="AF250" s="27"/>
      <c r="AG250" s="27"/>
      <c r="AH250" s="17"/>
      <c r="AI250" s="17"/>
    </row>
    <row r="251" spans="1:35" ht="12.75" customHeight="1">
      <c r="A251" s="287"/>
      <c r="B251" s="288"/>
      <c r="C251" s="288"/>
      <c r="D251" s="289"/>
      <c r="E251" s="55"/>
      <c r="F251" s="54"/>
      <c r="G251" s="32"/>
      <c r="H251" s="37"/>
      <c r="I251" s="37"/>
      <c r="J251" s="37"/>
      <c r="K251" s="37"/>
      <c r="L251" s="37"/>
      <c r="M251" s="32"/>
      <c r="N251" s="32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F251" s="37"/>
      <c r="AG251" s="37"/>
      <c r="AH251" s="17"/>
      <c r="AI251" s="17"/>
    </row>
    <row r="252" spans="1:35" ht="12.75" customHeight="1">
      <c r="A252" s="287"/>
      <c r="B252" s="288"/>
      <c r="C252" s="288"/>
      <c r="D252" s="289"/>
      <c r="E252" s="55"/>
      <c r="F252" s="54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27"/>
      <c r="Y252" s="27"/>
      <c r="Z252" s="27"/>
      <c r="AA252" s="27"/>
      <c r="AB252" s="27"/>
      <c r="AC252" s="27"/>
      <c r="AD252" s="27"/>
      <c r="AE252" s="27"/>
      <c r="AF252" s="27"/>
      <c r="AG252" s="27"/>
      <c r="AH252" s="17"/>
      <c r="AI252" s="17"/>
    </row>
    <row r="253" spans="1:35" ht="12.75" customHeight="1">
      <c r="A253" s="287"/>
      <c r="B253" s="288"/>
      <c r="C253" s="288"/>
      <c r="D253" s="289"/>
      <c r="E253" s="55"/>
      <c r="F253" s="54"/>
      <c r="G253" s="32"/>
      <c r="H253" s="37"/>
      <c r="I253" s="37"/>
      <c r="J253" s="37"/>
      <c r="K253" s="37"/>
      <c r="L253" s="37"/>
      <c r="M253" s="32"/>
      <c r="N253" s="32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F253" s="37"/>
      <c r="AG253" s="37"/>
      <c r="AH253" s="17"/>
      <c r="AI253" s="17"/>
    </row>
    <row r="254" spans="1:35" ht="12.75" customHeight="1">
      <c r="A254" s="287"/>
      <c r="B254" s="288"/>
      <c r="C254" s="288"/>
      <c r="D254" s="289"/>
      <c r="E254" s="55"/>
      <c r="F254" s="54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7"/>
      <c r="X254" s="27"/>
      <c r="Y254" s="27"/>
      <c r="Z254" s="27"/>
      <c r="AA254" s="27"/>
      <c r="AB254" s="27"/>
      <c r="AC254" s="27"/>
      <c r="AD254" s="27"/>
      <c r="AE254" s="27"/>
      <c r="AF254" s="27"/>
      <c r="AG254" s="27"/>
      <c r="AH254" s="17"/>
      <c r="AI254" s="17"/>
    </row>
    <row r="255" spans="1:35" ht="12.75" customHeight="1">
      <c r="A255" s="287"/>
      <c r="B255" s="288"/>
      <c r="C255" s="288"/>
      <c r="D255" s="289"/>
      <c r="E255" s="55"/>
      <c r="F255" s="54"/>
      <c r="G255" s="32"/>
      <c r="H255" s="37"/>
      <c r="I255" s="37"/>
      <c r="J255" s="37"/>
      <c r="K255" s="37"/>
      <c r="L255" s="37"/>
      <c r="M255" s="32"/>
      <c r="N255" s="32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F255" s="37"/>
      <c r="AG255" s="37"/>
      <c r="AH255" s="17"/>
      <c r="AI255" s="17"/>
    </row>
    <row r="256" spans="1:35" ht="12.75" customHeight="1">
      <c r="A256" s="287"/>
      <c r="B256" s="288"/>
      <c r="C256" s="288"/>
      <c r="D256" s="289"/>
      <c r="E256" s="55"/>
      <c r="F256" s="54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7"/>
      <c r="X256" s="27"/>
      <c r="Y256" s="27"/>
      <c r="Z256" s="27"/>
      <c r="AA256" s="27"/>
      <c r="AB256" s="27"/>
      <c r="AC256" s="27"/>
      <c r="AD256" s="27"/>
      <c r="AE256" s="27"/>
      <c r="AF256" s="27"/>
      <c r="AG256" s="27"/>
      <c r="AH256" s="17"/>
      <c r="AI256" s="17"/>
    </row>
    <row r="257" spans="1:35" ht="12.75" customHeight="1">
      <c r="A257" s="290"/>
      <c r="B257" s="291"/>
      <c r="C257" s="291"/>
      <c r="D257" s="292"/>
      <c r="E257" s="55"/>
      <c r="F257" s="54"/>
      <c r="G257" s="32"/>
      <c r="H257" s="37"/>
      <c r="I257" s="37"/>
      <c r="J257" s="37"/>
      <c r="K257" s="37"/>
      <c r="L257" s="37"/>
      <c r="M257" s="32"/>
      <c r="N257" s="32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  <c r="AE257" s="37"/>
      <c r="AF257" s="37"/>
      <c r="AG257" s="37"/>
      <c r="AH257" s="17"/>
      <c r="AI257" s="17"/>
    </row>
    <row r="258" spans="1:35" ht="12.75" customHeight="1">
      <c r="A258" s="55"/>
      <c r="B258" s="55"/>
      <c r="C258" s="55"/>
      <c r="D258" s="55"/>
      <c r="E258" s="55"/>
      <c r="F258" s="54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7"/>
      <c r="X258" s="27"/>
      <c r="Y258" s="27"/>
      <c r="Z258" s="27"/>
      <c r="AA258" s="27"/>
      <c r="AB258" s="27"/>
      <c r="AC258" s="27"/>
      <c r="AD258" s="27"/>
      <c r="AE258" s="27"/>
      <c r="AF258" s="27"/>
      <c r="AG258" s="27"/>
      <c r="AH258" s="17"/>
      <c r="AI258" s="17"/>
    </row>
    <row r="259" spans="1:35" ht="12.75" customHeight="1">
      <c r="A259" s="55"/>
      <c r="B259" s="55"/>
      <c r="C259" s="55"/>
      <c r="D259" s="55"/>
      <c r="E259" s="55"/>
      <c r="F259" s="54"/>
      <c r="G259" s="32"/>
      <c r="H259" s="37"/>
      <c r="I259" s="37"/>
      <c r="J259" s="37"/>
      <c r="K259" s="37"/>
      <c r="L259" s="37"/>
      <c r="M259" s="32"/>
      <c r="N259" s="32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F259" s="37"/>
      <c r="AG259" s="37"/>
      <c r="AH259" s="17"/>
      <c r="AI259" s="17"/>
    </row>
    <row r="260" spans="1:35" ht="12.75" customHeight="1">
      <c r="A260" s="55"/>
      <c r="B260" s="55"/>
      <c r="C260" s="55"/>
      <c r="D260" s="55"/>
      <c r="E260" s="55"/>
      <c r="F260" s="54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7"/>
      <c r="X260" s="27"/>
      <c r="Y260" s="27"/>
      <c r="Z260" s="27"/>
      <c r="AA260" s="27"/>
      <c r="AB260" s="27"/>
      <c r="AC260" s="27"/>
      <c r="AD260" s="27"/>
      <c r="AE260" s="27"/>
      <c r="AF260" s="27"/>
      <c r="AG260" s="27"/>
      <c r="AH260" s="17"/>
      <c r="AI260" s="17"/>
    </row>
    <row r="261" spans="1:35" ht="12.75" customHeight="1">
      <c r="A261" s="55"/>
      <c r="B261" s="55"/>
      <c r="C261" s="55"/>
      <c r="D261" s="55"/>
      <c r="E261" s="55"/>
      <c r="F261" s="54"/>
      <c r="G261" s="32"/>
      <c r="H261" s="37"/>
      <c r="I261" s="37"/>
      <c r="J261" s="37"/>
      <c r="K261" s="37"/>
      <c r="L261" s="37"/>
      <c r="M261" s="32"/>
      <c r="N261" s="32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  <c r="AE261" s="37"/>
      <c r="AF261" s="37"/>
      <c r="AG261" s="37"/>
      <c r="AH261" s="17"/>
      <c r="AI261" s="17"/>
    </row>
    <row r="262" spans="1:35" ht="12.75" customHeight="1">
      <c r="A262" s="55"/>
      <c r="B262" s="55"/>
      <c r="C262" s="55"/>
      <c r="D262" s="55"/>
      <c r="E262" s="55"/>
      <c r="F262" s="54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7"/>
      <c r="X262" s="27"/>
      <c r="Y262" s="27"/>
      <c r="Z262" s="27"/>
      <c r="AA262" s="27"/>
      <c r="AB262" s="27"/>
      <c r="AC262" s="27"/>
      <c r="AD262" s="27"/>
      <c r="AE262" s="27"/>
      <c r="AF262" s="27"/>
      <c r="AG262" s="27"/>
      <c r="AH262" s="17"/>
      <c r="AI262" s="17"/>
    </row>
    <row r="263" spans="1:35" ht="12.75" customHeight="1">
      <c r="A263" s="275" t="s">
        <v>211</v>
      </c>
      <c r="B263" s="276"/>
      <c r="C263" s="276"/>
      <c r="D263" s="277"/>
      <c r="E263" s="57"/>
      <c r="F263" s="54"/>
      <c r="G263" s="32"/>
      <c r="H263" s="37"/>
      <c r="I263" s="37"/>
      <c r="J263" s="37"/>
      <c r="K263" s="37"/>
      <c r="L263" s="37"/>
      <c r="M263" s="32"/>
      <c r="N263" s="32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  <c r="AE263" s="37"/>
      <c r="AF263" s="37"/>
      <c r="AG263" s="37"/>
      <c r="AH263" s="17"/>
      <c r="AI263" s="17"/>
    </row>
    <row r="264" spans="1:35" ht="12.75" customHeight="1">
      <c r="A264" s="278"/>
      <c r="B264" s="279"/>
      <c r="C264" s="279"/>
      <c r="D264" s="280"/>
      <c r="E264" s="57"/>
      <c r="F264" s="54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17"/>
      <c r="AI264" s="17"/>
    </row>
    <row r="265" spans="1:35" ht="12.75" customHeight="1">
      <c r="A265" s="278"/>
      <c r="B265" s="279"/>
      <c r="C265" s="279"/>
      <c r="D265" s="280"/>
      <c r="E265" s="57"/>
      <c r="F265" s="54"/>
      <c r="G265" s="32"/>
      <c r="H265" s="37"/>
      <c r="I265" s="37"/>
      <c r="J265" s="37"/>
      <c r="K265" s="37"/>
      <c r="L265" s="37"/>
      <c r="M265" s="32"/>
      <c r="N265" s="32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  <c r="AE265" s="37"/>
      <c r="AF265" s="37"/>
      <c r="AG265" s="37"/>
      <c r="AH265" s="17"/>
      <c r="AI265" s="17"/>
    </row>
    <row r="266" spans="1:35" ht="12.75" customHeight="1">
      <c r="A266" s="278"/>
      <c r="B266" s="279"/>
      <c r="C266" s="279"/>
      <c r="D266" s="280"/>
      <c r="E266" s="57"/>
      <c r="F266" s="54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7"/>
      <c r="X266" s="27"/>
      <c r="Y266" s="27"/>
      <c r="Z266" s="27"/>
      <c r="AA266" s="27"/>
      <c r="AB266" s="27"/>
      <c r="AC266" s="27"/>
      <c r="AD266" s="27"/>
      <c r="AE266" s="27"/>
      <c r="AF266" s="27"/>
      <c r="AG266" s="27"/>
      <c r="AH266" s="17"/>
      <c r="AI266" s="17"/>
    </row>
    <row r="267" spans="1:35" ht="12.75" customHeight="1">
      <c r="A267" s="278"/>
      <c r="B267" s="279"/>
      <c r="C267" s="279"/>
      <c r="D267" s="280"/>
      <c r="E267" s="5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</row>
    <row r="268" spans="1:35" ht="12.75" customHeight="1">
      <c r="A268" s="278"/>
      <c r="B268" s="279"/>
      <c r="C268" s="279"/>
      <c r="D268" s="280"/>
      <c r="E268" s="5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</row>
    <row r="269" spans="1:35" ht="12.75" customHeight="1">
      <c r="A269" s="278"/>
      <c r="B269" s="279"/>
      <c r="C269" s="279"/>
      <c r="D269" s="280"/>
      <c r="E269" s="5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</row>
    <row r="270" spans="1:35" ht="12.75" customHeight="1">
      <c r="A270" s="278"/>
      <c r="B270" s="279"/>
      <c r="C270" s="279"/>
      <c r="D270" s="280"/>
      <c r="E270" s="5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</row>
    <row r="271" spans="1:35" ht="12.75" customHeight="1">
      <c r="A271" s="278"/>
      <c r="B271" s="279"/>
      <c r="C271" s="279"/>
      <c r="D271" s="280"/>
      <c r="E271" s="5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</row>
    <row r="272" spans="1:35" ht="12.75" customHeight="1">
      <c r="A272" s="278"/>
      <c r="B272" s="279"/>
      <c r="C272" s="279"/>
      <c r="D272" s="280"/>
      <c r="E272" s="5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</row>
    <row r="273" spans="1:35" ht="12.75" customHeight="1">
      <c r="A273" s="278"/>
      <c r="B273" s="279"/>
      <c r="C273" s="279"/>
      <c r="D273" s="280"/>
      <c r="E273" s="5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</row>
    <row r="274" spans="1:35" ht="12.75" customHeight="1">
      <c r="A274" s="278"/>
      <c r="B274" s="279"/>
      <c r="C274" s="279"/>
      <c r="D274" s="280"/>
      <c r="E274" s="5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</row>
    <row r="275" spans="1:35" ht="12.75" customHeight="1">
      <c r="A275" s="281"/>
      <c r="B275" s="282"/>
      <c r="C275" s="282"/>
      <c r="D275" s="283"/>
      <c r="E275" s="5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</row>
    <row r="276" spans="1:35" ht="12.75" customHeight="1">
      <c r="A276" s="57"/>
      <c r="B276" s="57"/>
      <c r="C276" s="57"/>
      <c r="D276" s="57"/>
      <c r="E276" s="5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</row>
    <row r="277" spans="1:35" ht="12.75" customHeight="1">
      <c r="A277" s="57"/>
      <c r="B277" s="57"/>
      <c r="C277" s="57"/>
      <c r="D277" s="57"/>
      <c r="E277" s="5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</row>
    <row r="278" spans="1:35" ht="12.75" customHeight="1">
      <c r="A278" s="57"/>
      <c r="B278" s="57"/>
      <c r="C278" s="57"/>
      <c r="D278" s="57"/>
      <c r="E278" s="5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</row>
    <row r="279" spans="1:35" ht="12.75" customHeight="1">
      <c r="A279" s="57"/>
      <c r="B279" s="57"/>
      <c r="C279" s="57"/>
      <c r="D279" s="57"/>
      <c r="E279" s="5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</row>
    <row r="280" spans="1:35" ht="12.75" customHeight="1">
      <c r="A280" s="57"/>
      <c r="B280" s="57"/>
      <c r="C280" s="57"/>
      <c r="D280" s="57"/>
      <c r="E280" s="5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</row>
    <row r="281" spans="1:35" ht="12.75" customHeight="1">
      <c r="A281" s="57"/>
      <c r="B281" s="57"/>
      <c r="C281" s="57"/>
      <c r="D281" s="57"/>
      <c r="E281" s="5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</row>
    <row r="282" spans="1:35" ht="12.75" customHeight="1">
      <c r="A282" s="57"/>
      <c r="B282" s="57"/>
      <c r="C282" s="57"/>
      <c r="D282" s="57"/>
      <c r="E282" s="5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</row>
    <row r="283" spans="1:35" ht="12.75" customHeight="1">
      <c r="A283" s="275" t="s">
        <v>212</v>
      </c>
      <c r="B283" s="276"/>
      <c r="C283" s="276"/>
      <c r="D283" s="277"/>
      <c r="E283" s="5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</row>
    <row r="284" spans="1:35" ht="12.75" customHeight="1">
      <c r="A284" s="278"/>
      <c r="B284" s="279"/>
      <c r="C284" s="279"/>
      <c r="D284" s="280"/>
      <c r="E284" s="5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</row>
    <row r="285" spans="1:35" ht="12.75" customHeight="1">
      <c r="A285" s="278"/>
      <c r="B285" s="279"/>
      <c r="C285" s="279"/>
      <c r="D285" s="280"/>
      <c r="E285" s="5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</row>
    <row r="286" spans="1:35" ht="12.75" customHeight="1">
      <c r="A286" s="278"/>
      <c r="B286" s="279"/>
      <c r="C286" s="279"/>
      <c r="D286" s="280"/>
      <c r="E286" s="5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</row>
    <row r="287" spans="1:35" ht="12.75" customHeight="1">
      <c r="A287" s="278"/>
      <c r="B287" s="279"/>
      <c r="C287" s="279"/>
      <c r="D287" s="280"/>
      <c r="E287" s="5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</row>
    <row r="288" spans="1:35" ht="12.75" customHeight="1">
      <c r="A288" s="278"/>
      <c r="B288" s="279"/>
      <c r="C288" s="279"/>
      <c r="D288" s="280"/>
      <c r="E288" s="5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</row>
    <row r="289" spans="1:35" ht="12.75" customHeight="1">
      <c r="A289" s="278"/>
      <c r="B289" s="279"/>
      <c r="C289" s="279"/>
      <c r="D289" s="280"/>
      <c r="E289" s="5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</row>
    <row r="290" spans="1:35" ht="12.75" customHeight="1">
      <c r="A290" s="278"/>
      <c r="B290" s="279"/>
      <c r="C290" s="279"/>
      <c r="D290" s="280"/>
      <c r="E290" s="5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</row>
    <row r="291" spans="1:35" ht="12.75" customHeight="1">
      <c r="A291" s="278"/>
      <c r="B291" s="279"/>
      <c r="C291" s="279"/>
      <c r="D291" s="280"/>
      <c r="E291" s="5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</row>
    <row r="292" spans="1:35" ht="12.75" customHeight="1">
      <c r="A292" s="278"/>
      <c r="B292" s="279"/>
      <c r="C292" s="279"/>
      <c r="D292" s="280"/>
      <c r="E292" s="5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</row>
    <row r="293" spans="1:35" ht="12.75" customHeight="1">
      <c r="A293" s="278"/>
      <c r="B293" s="279"/>
      <c r="C293" s="279"/>
      <c r="D293" s="280"/>
      <c r="E293" s="5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</row>
    <row r="294" spans="1:35" ht="12.75" customHeight="1">
      <c r="A294" s="278"/>
      <c r="B294" s="279"/>
      <c r="C294" s="279"/>
      <c r="D294" s="280"/>
      <c r="E294" s="5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</row>
    <row r="295" spans="1:35" ht="12.75" customHeight="1">
      <c r="A295" s="278"/>
      <c r="B295" s="279"/>
      <c r="C295" s="279"/>
      <c r="D295" s="280"/>
      <c r="E295" s="5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</row>
    <row r="296" spans="1:35" ht="12.75" customHeight="1">
      <c r="A296" s="278"/>
      <c r="B296" s="279"/>
      <c r="C296" s="279"/>
      <c r="D296" s="280"/>
      <c r="E296" s="5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</row>
    <row r="297" spans="1:35" ht="12.75" customHeight="1">
      <c r="A297" s="278"/>
      <c r="B297" s="279"/>
      <c r="C297" s="279"/>
      <c r="D297" s="280"/>
      <c r="E297" s="5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</row>
    <row r="298" spans="1:35" ht="12.75" customHeight="1">
      <c r="A298" s="278"/>
      <c r="B298" s="279"/>
      <c r="C298" s="279"/>
      <c r="D298" s="280"/>
      <c r="E298" s="5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</row>
    <row r="299" spans="1:35" ht="12.75" customHeight="1">
      <c r="A299" s="278"/>
      <c r="B299" s="279"/>
      <c r="C299" s="279"/>
      <c r="D299" s="280"/>
      <c r="E299" s="5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</row>
    <row r="300" spans="1:35" ht="12.75" customHeight="1">
      <c r="A300" s="278"/>
      <c r="B300" s="279"/>
      <c r="C300" s="279"/>
      <c r="D300" s="280"/>
      <c r="E300" s="5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</row>
    <row r="301" spans="1:35" ht="12.75" customHeight="1">
      <c r="A301" s="278"/>
      <c r="B301" s="279"/>
      <c r="C301" s="279"/>
      <c r="D301" s="280"/>
      <c r="E301" s="5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</row>
    <row r="302" spans="1:35" ht="12.75" customHeight="1">
      <c r="A302" s="278"/>
      <c r="B302" s="279"/>
      <c r="C302" s="279"/>
      <c r="D302" s="280"/>
      <c r="E302" s="5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</row>
    <row r="303" spans="1:35" ht="12.75" customHeight="1">
      <c r="A303" s="278"/>
      <c r="B303" s="279"/>
      <c r="C303" s="279"/>
      <c r="D303" s="280"/>
      <c r="E303" s="5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</row>
    <row r="304" spans="1:35" ht="12.75" customHeight="1">
      <c r="A304" s="278"/>
      <c r="B304" s="279"/>
      <c r="C304" s="279"/>
      <c r="D304" s="280"/>
      <c r="E304" s="5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</row>
    <row r="305" spans="1:35" ht="12.75" customHeight="1">
      <c r="A305" s="278"/>
      <c r="B305" s="279"/>
      <c r="C305" s="279"/>
      <c r="D305" s="280"/>
      <c r="E305" s="5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</row>
    <row r="306" spans="1:35" ht="12.75" customHeight="1">
      <c r="A306" s="278"/>
      <c r="B306" s="279"/>
      <c r="C306" s="279"/>
      <c r="D306" s="280"/>
      <c r="E306" s="5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</row>
    <row r="307" spans="1:35" ht="12.75" customHeight="1">
      <c r="A307" s="278"/>
      <c r="B307" s="279"/>
      <c r="C307" s="279"/>
      <c r="D307" s="280"/>
      <c r="E307" s="5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</row>
    <row r="308" spans="1:35" ht="12.75" customHeight="1">
      <c r="A308" s="278"/>
      <c r="B308" s="279"/>
      <c r="C308" s="279"/>
      <c r="D308" s="280"/>
      <c r="E308" s="5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</row>
    <row r="309" spans="1:35" ht="12.75" customHeight="1">
      <c r="A309" s="278"/>
      <c r="B309" s="279"/>
      <c r="C309" s="279"/>
      <c r="D309" s="280"/>
      <c r="E309" s="5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</row>
    <row r="310" spans="1:35" ht="12.75" customHeight="1">
      <c r="A310" s="278"/>
      <c r="B310" s="279"/>
      <c r="C310" s="279"/>
      <c r="D310" s="280"/>
      <c r="E310" s="5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</row>
    <row r="311" spans="1:35" ht="12.75" customHeight="1">
      <c r="A311" s="278"/>
      <c r="B311" s="279"/>
      <c r="C311" s="279"/>
      <c r="D311" s="280"/>
      <c r="E311" s="5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</row>
    <row r="312" spans="1:35" ht="12.75" customHeight="1">
      <c r="A312" s="278"/>
      <c r="B312" s="279"/>
      <c r="C312" s="279"/>
      <c r="D312" s="280"/>
      <c r="E312" s="5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</row>
    <row r="313" spans="1:35" ht="12.75" customHeight="1">
      <c r="A313" s="278"/>
      <c r="B313" s="279"/>
      <c r="C313" s="279"/>
      <c r="D313" s="280"/>
      <c r="E313" s="5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</row>
    <row r="314" spans="1:35" ht="12.75" customHeight="1">
      <c r="A314" s="278"/>
      <c r="B314" s="279"/>
      <c r="C314" s="279"/>
      <c r="D314" s="280"/>
      <c r="E314" s="5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</row>
    <row r="315" spans="1:35" ht="12.75" customHeight="1">
      <c r="A315" s="281"/>
      <c r="B315" s="282"/>
      <c r="C315" s="282"/>
      <c r="D315" s="283"/>
      <c r="E315" s="5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</row>
    <row r="316" spans="1:35" ht="12.75" customHeight="1">
      <c r="A316" s="57"/>
      <c r="B316" s="57"/>
      <c r="C316" s="57"/>
      <c r="D316" s="57"/>
      <c r="E316" s="5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</row>
    <row r="317" spans="1:35" ht="12.75" customHeight="1">
      <c r="A317" s="57"/>
      <c r="B317" s="57"/>
      <c r="C317" s="57"/>
      <c r="D317" s="57"/>
      <c r="E317" s="5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</row>
    <row r="318" spans="1:35" ht="12.75" customHeight="1">
      <c r="A318" s="57"/>
      <c r="B318" s="57"/>
      <c r="C318" s="57"/>
      <c r="D318" s="57"/>
      <c r="E318" s="5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</row>
    <row r="319" spans="1:35" ht="12.75" customHeight="1">
      <c r="A319" s="57"/>
      <c r="B319" s="57"/>
      <c r="C319" s="57"/>
      <c r="D319" s="57"/>
      <c r="E319" s="5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</row>
    <row r="320" spans="1:35" ht="18.75" customHeight="1">
      <c r="A320" s="106"/>
      <c r="B320" s="57"/>
      <c r="C320" s="57"/>
      <c r="D320" s="57"/>
      <c r="E320" s="5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</row>
    <row r="321" spans="1:35" ht="12.75" customHeight="1">
      <c r="A321" s="57"/>
      <c r="B321" s="57"/>
      <c r="C321" s="57"/>
      <c r="D321" s="57"/>
      <c r="E321" s="5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</row>
    <row r="322" spans="1:35" ht="12.75" customHeight="1">
      <c r="A322" s="57"/>
      <c r="B322" s="57"/>
      <c r="C322" s="57"/>
      <c r="D322" s="57"/>
      <c r="E322" s="5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</row>
    <row r="323" spans="1:35" ht="12.75" customHeight="1">
      <c r="A323" s="57"/>
      <c r="B323" s="57"/>
      <c r="C323" s="57"/>
      <c r="D323" s="57"/>
      <c r="E323" s="5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</row>
    <row r="324" spans="1:35" ht="12.75" customHeight="1">
      <c r="A324" s="57"/>
      <c r="B324" s="57"/>
      <c r="C324" s="57"/>
      <c r="D324" s="57"/>
      <c r="E324" s="5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</row>
    <row r="325" spans="1:35" ht="12.75" customHeight="1">
      <c r="A325" s="57"/>
      <c r="B325" s="57"/>
      <c r="C325" s="57"/>
      <c r="D325" s="57"/>
      <c r="E325" s="5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</row>
    <row r="326" spans="1:35" ht="12.75" customHeight="1">
      <c r="A326" s="57"/>
      <c r="B326" s="57"/>
      <c r="C326" s="57"/>
      <c r="D326" s="57"/>
      <c r="E326" s="5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</row>
    <row r="327" spans="1:35" ht="12.75" customHeight="1">
      <c r="A327" s="57"/>
      <c r="B327" s="57"/>
      <c r="C327" s="57"/>
      <c r="D327" s="57"/>
      <c r="E327" s="5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</row>
    <row r="328" spans="1:35" ht="12.75" customHeight="1">
      <c r="A328" s="57"/>
      <c r="B328" s="57"/>
      <c r="C328" s="57"/>
      <c r="D328" s="57"/>
      <c r="E328" s="5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</row>
    <row r="329" spans="1:35" ht="12.75" customHeight="1">
      <c r="A329" s="57"/>
      <c r="B329" s="57"/>
      <c r="C329" s="57"/>
      <c r="D329" s="57"/>
      <c r="E329" s="5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</row>
    <row r="330" spans="1:35" ht="12.75" customHeight="1">
      <c r="A330" s="57"/>
      <c r="B330" s="57"/>
      <c r="C330" s="57"/>
      <c r="D330" s="57"/>
      <c r="E330" s="5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</row>
    <row r="331" spans="1:35" ht="12.75" customHeight="1">
      <c r="A331" s="57"/>
      <c r="B331" s="57"/>
      <c r="C331" s="57"/>
      <c r="D331" s="57"/>
      <c r="E331" s="5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</row>
    <row r="332" spans="1:35" ht="12.75" customHeight="1">
      <c r="A332" s="57"/>
      <c r="B332" s="57"/>
      <c r="C332" s="57"/>
      <c r="D332" s="57"/>
      <c r="E332" s="5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</row>
    <row r="333" spans="1:35" ht="12.75" customHeight="1">
      <c r="A333" s="57"/>
      <c r="B333" s="57"/>
      <c r="C333" s="57"/>
      <c r="D333" s="57"/>
      <c r="E333" s="5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</row>
    <row r="334" spans="1:35" ht="12.75" customHeight="1">
      <c r="A334" s="57"/>
      <c r="B334" s="57"/>
      <c r="C334" s="57"/>
      <c r="D334" s="57"/>
      <c r="E334" s="5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</row>
    <row r="335" spans="1:35" ht="12.75" customHeight="1">
      <c r="A335" s="57"/>
      <c r="B335" s="57"/>
      <c r="C335" s="57"/>
      <c r="D335" s="57"/>
      <c r="E335" s="5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</row>
    <row r="336" spans="1:35" ht="12.75" customHeight="1">
      <c r="A336" s="57"/>
      <c r="B336" s="57"/>
      <c r="C336" s="57"/>
      <c r="D336" s="57"/>
      <c r="E336" s="5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</row>
    <row r="337" spans="1:35" ht="12.75" customHeight="1">
      <c r="A337" s="57"/>
      <c r="B337" s="57"/>
      <c r="C337" s="57"/>
      <c r="D337" s="57"/>
      <c r="E337" s="5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</row>
    <row r="338" spans="1:35" ht="12.75" customHeight="1">
      <c r="A338" s="57"/>
      <c r="B338" s="57"/>
      <c r="C338" s="57"/>
      <c r="D338" s="57"/>
      <c r="E338" s="5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</row>
    <row r="339" spans="1:35" ht="12.75" customHeight="1">
      <c r="A339" s="57"/>
      <c r="B339" s="57"/>
      <c r="C339" s="57"/>
      <c r="D339" s="57"/>
      <c r="E339" s="5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</row>
    <row r="340" spans="1:35" ht="12.75" customHeight="1">
      <c r="A340" s="57"/>
      <c r="B340" s="57"/>
      <c r="C340" s="57"/>
      <c r="D340" s="57"/>
      <c r="E340" s="5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</row>
    <row r="341" spans="1:35" ht="12.75" customHeight="1">
      <c r="A341" s="57"/>
      <c r="B341" s="57"/>
      <c r="C341" s="57"/>
      <c r="D341" s="57"/>
      <c r="E341" s="5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</row>
    <row r="342" spans="1:35" ht="12.75" customHeight="1">
      <c r="A342" s="57"/>
      <c r="B342" s="57"/>
      <c r="C342" s="57"/>
      <c r="D342" s="57"/>
      <c r="E342" s="5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</row>
    <row r="343" spans="1:35" ht="12.75" customHeight="1">
      <c r="A343" s="57"/>
      <c r="B343" s="57"/>
      <c r="C343" s="57"/>
      <c r="D343" s="57"/>
      <c r="E343" s="5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</row>
    <row r="344" spans="1:35" ht="12.75" customHeight="1">
      <c r="A344" s="57"/>
      <c r="B344" s="57"/>
      <c r="C344" s="57"/>
      <c r="D344" s="57"/>
      <c r="E344" s="5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</row>
    <row r="345" spans="1:35" ht="12.75" customHeight="1">
      <c r="A345" s="57"/>
      <c r="B345" s="57"/>
      <c r="C345" s="57"/>
      <c r="D345" s="57"/>
      <c r="E345" s="5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</row>
    <row r="346" spans="1:35" ht="12.75" customHeight="1">
      <c r="A346" s="57"/>
      <c r="B346" s="57"/>
      <c r="C346" s="57"/>
      <c r="D346" s="57"/>
      <c r="E346" s="5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</row>
    <row r="347" spans="1:35" ht="12.75" customHeight="1">
      <c r="A347" s="57"/>
      <c r="B347" s="57"/>
      <c r="C347" s="57"/>
      <c r="D347" s="57"/>
      <c r="E347" s="5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</row>
    <row r="348" spans="1:35" ht="12.75" customHeight="1">
      <c r="A348" s="57"/>
      <c r="B348" s="57"/>
      <c r="C348" s="57"/>
      <c r="D348" s="57"/>
      <c r="E348" s="5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</row>
    <row r="349" spans="1:35" ht="12.75" customHeight="1">
      <c r="A349" s="57"/>
      <c r="B349" s="57"/>
      <c r="C349" s="57"/>
      <c r="D349" s="57"/>
      <c r="E349" s="5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</row>
    <row r="350" spans="1:35" ht="12.75" customHeight="1">
      <c r="A350" s="57"/>
      <c r="B350" s="57"/>
      <c r="C350" s="57"/>
      <c r="D350" s="57"/>
      <c r="E350" s="5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</row>
    <row r="351" spans="1:35" ht="12.75" customHeight="1">
      <c r="A351" s="57"/>
      <c r="B351" s="57"/>
      <c r="C351" s="57"/>
      <c r="D351" s="57"/>
      <c r="E351" s="5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</row>
    <row r="352" spans="1:35" ht="12.75" customHeight="1">
      <c r="A352" s="57"/>
      <c r="B352" s="57"/>
      <c r="C352" s="57"/>
      <c r="D352" s="57"/>
      <c r="E352" s="5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</row>
    <row r="353" spans="1:35" ht="12.75" customHeight="1">
      <c r="A353" s="57"/>
      <c r="B353" s="57"/>
      <c r="C353" s="57"/>
      <c r="D353" s="57"/>
      <c r="E353" s="5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</row>
    <row r="354" spans="1:35" ht="12.75" customHeight="1">
      <c r="A354" s="57"/>
      <c r="B354" s="57"/>
      <c r="C354" s="57"/>
      <c r="D354" s="57"/>
      <c r="E354" s="5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</row>
    <row r="355" spans="1:35" ht="12.75" customHeight="1">
      <c r="A355" s="57"/>
      <c r="B355" s="57"/>
      <c r="C355" s="57"/>
      <c r="D355" s="57"/>
      <c r="E355" s="5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</row>
    <row r="356" spans="1:35" ht="12.75" customHeight="1">
      <c r="A356" s="57"/>
      <c r="B356" s="57"/>
      <c r="C356" s="57"/>
      <c r="D356" s="57"/>
      <c r="E356" s="5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</row>
    <row r="357" spans="1:35" ht="12.75" customHeight="1">
      <c r="A357" s="57"/>
      <c r="B357" s="57"/>
      <c r="C357" s="57"/>
      <c r="D357" s="57"/>
      <c r="E357" s="5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</row>
    <row r="358" spans="1:35" ht="12.75" customHeight="1">
      <c r="A358" s="57"/>
      <c r="B358" s="57"/>
      <c r="C358" s="57"/>
      <c r="D358" s="57"/>
      <c r="E358" s="5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</row>
    <row r="359" spans="1:35" ht="12.75" customHeight="1">
      <c r="A359" s="57"/>
      <c r="B359" s="57"/>
      <c r="C359" s="57"/>
      <c r="D359" s="57"/>
      <c r="E359" s="5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</row>
    <row r="360" spans="1:35" ht="12.75" customHeight="1">
      <c r="A360" s="57"/>
      <c r="B360" s="57"/>
      <c r="C360" s="57"/>
      <c r="D360" s="57"/>
      <c r="E360" s="5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</row>
    <row r="361" spans="1:35" ht="12.75" customHeight="1">
      <c r="A361" s="57"/>
      <c r="B361" s="57"/>
      <c r="C361" s="57"/>
      <c r="D361" s="57"/>
      <c r="E361" s="5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</row>
    <row r="362" spans="1:35" ht="12.75" customHeight="1">
      <c r="A362" s="57"/>
      <c r="B362" s="57"/>
      <c r="C362" s="57"/>
      <c r="D362" s="57"/>
      <c r="E362" s="5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</row>
    <row r="363" spans="1:35" ht="12.75" customHeight="1">
      <c r="A363" s="57"/>
      <c r="B363" s="57"/>
      <c r="C363" s="57"/>
      <c r="D363" s="57"/>
      <c r="E363" s="5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</row>
    <row r="364" spans="1:35" ht="12.75" customHeight="1">
      <c r="A364" s="57"/>
      <c r="B364" s="57"/>
      <c r="C364" s="57"/>
      <c r="D364" s="57"/>
      <c r="E364" s="5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</row>
    <row r="365" spans="1:35" ht="12.75" customHeight="1">
      <c r="A365" s="57"/>
      <c r="B365" s="57"/>
      <c r="C365" s="57"/>
      <c r="D365" s="57"/>
      <c r="E365" s="5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</row>
    <row r="366" spans="1:35" ht="12.75" customHeight="1">
      <c r="A366" s="57"/>
      <c r="B366" s="57"/>
      <c r="C366" s="57"/>
      <c r="D366" s="57"/>
      <c r="E366" s="5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</row>
    <row r="367" spans="1:35" ht="12.75" customHeight="1">
      <c r="A367" s="57"/>
      <c r="B367" s="57"/>
      <c r="C367" s="57"/>
      <c r="D367" s="57"/>
      <c r="E367" s="5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</row>
    <row r="368" spans="1:35" ht="12.75" customHeight="1">
      <c r="A368" s="57"/>
      <c r="B368" s="57"/>
      <c r="C368" s="57"/>
      <c r="D368" s="57"/>
      <c r="E368" s="5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</row>
    <row r="369" spans="1:35" ht="12.75" customHeight="1">
      <c r="A369" s="57"/>
      <c r="B369" s="57"/>
      <c r="C369" s="57"/>
      <c r="D369" s="57"/>
      <c r="E369" s="5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</row>
    <row r="370" spans="1:35" ht="12.75" customHeight="1">
      <c r="A370" s="57"/>
      <c r="B370" s="57"/>
      <c r="C370" s="57"/>
      <c r="D370" s="57"/>
      <c r="E370" s="5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</row>
    <row r="371" spans="1:35" ht="12.75" customHeight="1">
      <c r="A371" s="57"/>
      <c r="B371" s="57"/>
      <c r="C371" s="57"/>
      <c r="D371" s="57"/>
      <c r="E371" s="5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</row>
    <row r="372" spans="1:35" ht="12.75" customHeight="1">
      <c r="A372" s="57"/>
      <c r="B372" s="57"/>
      <c r="C372" s="57"/>
      <c r="D372" s="57"/>
      <c r="E372" s="5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</row>
    <row r="373" spans="1:35" ht="12.75" customHeight="1">
      <c r="A373" s="57"/>
      <c r="B373" s="57"/>
      <c r="C373" s="57"/>
      <c r="D373" s="57"/>
      <c r="E373" s="5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</row>
    <row r="374" spans="1:35" ht="12.75" customHeight="1">
      <c r="A374" s="57"/>
      <c r="B374" s="57"/>
      <c r="C374" s="57"/>
      <c r="D374" s="57"/>
      <c r="E374" s="5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</row>
    <row r="375" spans="1:35" ht="12.75" customHeight="1">
      <c r="A375" s="57"/>
      <c r="B375" s="57"/>
      <c r="C375" s="57"/>
      <c r="D375" s="57"/>
      <c r="E375" s="5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</row>
    <row r="376" spans="1:35" ht="12.75" customHeight="1">
      <c r="A376" s="57"/>
      <c r="B376" s="57"/>
      <c r="C376" s="57"/>
      <c r="D376" s="57"/>
      <c r="E376" s="5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</row>
    <row r="377" spans="1:35" ht="12.75" customHeight="1">
      <c r="A377" s="57"/>
      <c r="B377" s="57"/>
      <c r="C377" s="57"/>
      <c r="D377" s="57"/>
      <c r="E377" s="5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</row>
    <row r="378" spans="1:35" ht="12.75" customHeight="1">
      <c r="A378" s="57"/>
      <c r="B378" s="57"/>
      <c r="C378" s="57"/>
      <c r="D378" s="57"/>
      <c r="E378" s="5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</row>
    <row r="379" spans="1:35" ht="12.75" customHeight="1">
      <c r="A379" s="57"/>
      <c r="B379" s="57"/>
      <c r="C379" s="57"/>
      <c r="D379" s="57"/>
      <c r="E379" s="5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</row>
    <row r="380" spans="1:35" ht="12.75" customHeight="1">
      <c r="A380" s="57"/>
      <c r="B380" s="57"/>
      <c r="C380" s="57"/>
      <c r="D380" s="57"/>
      <c r="E380" s="5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</row>
    <row r="381" spans="1:35" ht="12.75" customHeight="1">
      <c r="A381" s="57"/>
      <c r="B381" s="57"/>
      <c r="C381" s="57"/>
      <c r="D381" s="57"/>
      <c r="E381" s="5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</row>
    <row r="382" spans="1:35" ht="12.75" customHeight="1">
      <c r="A382" s="57"/>
      <c r="B382" s="57"/>
      <c r="C382" s="57"/>
      <c r="D382" s="57"/>
      <c r="E382" s="5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</row>
    <row r="383" spans="1:35" ht="12.75" customHeight="1">
      <c r="A383" s="57"/>
      <c r="B383" s="57"/>
      <c r="C383" s="57"/>
      <c r="D383" s="57"/>
      <c r="E383" s="5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</row>
    <row r="384" spans="1:35" ht="12.75" customHeight="1">
      <c r="A384" s="57"/>
      <c r="B384" s="57"/>
      <c r="C384" s="57"/>
      <c r="D384" s="57"/>
      <c r="E384" s="5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</row>
    <row r="385" spans="1:35" ht="12.75" customHeight="1">
      <c r="A385" s="57"/>
      <c r="B385" s="57"/>
      <c r="C385" s="57"/>
      <c r="D385" s="57"/>
      <c r="E385" s="5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</row>
    <row r="386" spans="1:35" ht="12.75" customHeight="1">
      <c r="A386" s="57"/>
      <c r="B386" s="57"/>
      <c r="C386" s="57"/>
      <c r="D386" s="57"/>
      <c r="E386" s="5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</row>
    <row r="387" spans="1:35" ht="12.75" customHeight="1">
      <c r="A387" s="57"/>
      <c r="B387" s="57"/>
      <c r="C387" s="57"/>
      <c r="D387" s="57"/>
      <c r="E387" s="5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</row>
    <row r="388" spans="1:35" ht="12.75" customHeight="1">
      <c r="A388" s="57"/>
      <c r="B388" s="57"/>
      <c r="C388" s="57"/>
      <c r="D388" s="57"/>
      <c r="E388" s="5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</row>
    <row r="389" spans="1:35" ht="12.75" customHeight="1">
      <c r="A389" s="57"/>
      <c r="B389" s="57"/>
      <c r="C389" s="57"/>
      <c r="D389" s="57"/>
      <c r="E389" s="5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</row>
    <row r="390" spans="1:35" ht="12.75" customHeight="1">
      <c r="A390" s="57"/>
      <c r="B390" s="57"/>
      <c r="C390" s="57"/>
      <c r="D390" s="57"/>
      <c r="E390" s="5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</row>
    <row r="391" spans="1:35" ht="12.75" customHeight="1">
      <c r="A391" s="57"/>
      <c r="B391" s="57"/>
      <c r="C391" s="57"/>
      <c r="D391" s="57"/>
      <c r="E391" s="5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</row>
    <row r="392" spans="1:35" ht="12.75" customHeight="1">
      <c r="A392" s="57"/>
      <c r="B392" s="57"/>
      <c r="C392" s="57"/>
      <c r="D392" s="57"/>
      <c r="E392" s="5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</row>
    <row r="393" spans="1:35" ht="12.75" customHeight="1">
      <c r="A393" s="57"/>
      <c r="B393" s="57"/>
      <c r="C393" s="57"/>
      <c r="D393" s="57"/>
      <c r="E393" s="5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</row>
    <row r="394" spans="1:35" ht="12.75" customHeight="1">
      <c r="A394" s="57"/>
      <c r="B394" s="57"/>
      <c r="C394" s="57"/>
      <c r="D394" s="57"/>
      <c r="E394" s="5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</row>
    <row r="395" spans="1:35" ht="12.75" customHeight="1">
      <c r="A395" s="57"/>
      <c r="B395" s="57"/>
      <c r="C395" s="57"/>
      <c r="D395" s="57"/>
      <c r="E395" s="5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</row>
    <row r="396" spans="1:35" ht="12.75" customHeight="1">
      <c r="A396" s="57"/>
      <c r="B396" s="57"/>
      <c r="C396" s="57"/>
      <c r="D396" s="57"/>
      <c r="E396" s="5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</row>
    <row r="397" spans="1:35" ht="12.75" customHeight="1">
      <c r="A397" s="57"/>
      <c r="B397" s="57"/>
      <c r="C397" s="57"/>
      <c r="D397" s="57"/>
      <c r="E397" s="5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</row>
    <row r="398" spans="1:35" ht="12.75" customHeight="1">
      <c r="A398" s="57"/>
      <c r="B398" s="57"/>
      <c r="C398" s="57"/>
      <c r="D398" s="57"/>
      <c r="E398" s="5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</row>
    <row r="399" spans="1:35" ht="12.75" customHeight="1">
      <c r="A399" s="57"/>
      <c r="B399" s="57"/>
      <c r="C399" s="57"/>
      <c r="D399" s="57"/>
      <c r="E399" s="5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</row>
    <row r="400" spans="1:35" ht="12.75" customHeight="1">
      <c r="A400" s="57"/>
      <c r="B400" s="57"/>
      <c r="C400" s="57"/>
      <c r="D400" s="57"/>
      <c r="E400" s="5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</row>
    <row r="401" spans="1:35" ht="12.75" customHeight="1">
      <c r="A401" s="57"/>
      <c r="B401" s="57"/>
      <c r="C401" s="57"/>
      <c r="D401" s="57"/>
      <c r="E401" s="5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</row>
    <row r="402" spans="1:35" ht="12.75" customHeight="1">
      <c r="A402" s="57"/>
      <c r="B402" s="57"/>
      <c r="C402" s="57"/>
      <c r="D402" s="57"/>
      <c r="E402" s="5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</row>
    <row r="403" spans="1:35" ht="12.75">
      <c r="A403" s="274"/>
      <c r="B403" s="274"/>
      <c r="C403" s="274"/>
      <c r="D403" s="274"/>
      <c r="E403" s="274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</row>
    <row r="404" spans="1:35" ht="12.75">
      <c r="A404" s="274"/>
      <c r="B404" s="274"/>
      <c r="C404" s="274"/>
      <c r="D404" s="274"/>
      <c r="E404" s="274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</row>
    <row r="405" spans="1:35" ht="12.75">
      <c r="A405" s="274"/>
      <c r="B405" s="274"/>
      <c r="C405" s="274"/>
      <c r="D405" s="274"/>
      <c r="E405" s="274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</row>
    <row r="406" spans="1:35" ht="12.75">
      <c r="A406" s="274"/>
      <c r="B406" s="274"/>
      <c r="C406" s="274"/>
      <c r="D406" s="274"/>
      <c r="E406" s="274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</row>
    <row r="407" spans="1:35" ht="12.75">
      <c r="A407" s="274"/>
      <c r="B407" s="274"/>
      <c r="C407" s="274"/>
      <c r="D407" s="274"/>
      <c r="E407" s="274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</row>
    <row r="408" spans="1:35" ht="12.75">
      <c r="A408" s="274"/>
      <c r="B408" s="274"/>
      <c r="C408" s="274"/>
      <c r="D408" s="274"/>
      <c r="E408" s="274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</row>
    <row r="409" spans="1:35" ht="12.75">
      <c r="A409" s="274"/>
      <c r="B409" s="274"/>
      <c r="C409" s="274"/>
      <c r="D409" s="274"/>
      <c r="E409" s="274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</row>
    <row r="410" spans="1:35" ht="12.75">
      <c r="A410" s="274"/>
      <c r="B410" s="274"/>
      <c r="C410" s="274"/>
      <c r="D410" s="274"/>
      <c r="E410" s="274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</row>
    <row r="411" spans="1:35" ht="12.75">
      <c r="A411" s="274"/>
      <c r="B411" s="274"/>
      <c r="C411" s="274"/>
      <c r="D411" s="274"/>
      <c r="E411" s="274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</row>
    <row r="412" spans="1:35" ht="12.75">
      <c r="A412" s="274"/>
      <c r="B412" s="274"/>
      <c r="C412" s="274"/>
      <c r="D412" s="274"/>
      <c r="E412" s="274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</row>
    <row r="413" spans="1:35" ht="12.75">
      <c r="A413" s="274"/>
      <c r="B413" s="274"/>
      <c r="C413" s="274"/>
      <c r="D413" s="274"/>
      <c r="E413" s="274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</row>
    <row r="414" spans="1:35" ht="12.75">
      <c r="A414" s="274"/>
      <c r="B414" s="274"/>
      <c r="C414" s="274"/>
      <c r="D414" s="274"/>
      <c r="E414" s="274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</row>
    <row r="415" spans="1:35" ht="12.75">
      <c r="A415" s="274"/>
      <c r="B415" s="274"/>
      <c r="C415" s="274"/>
      <c r="D415" s="274"/>
      <c r="E415" s="274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</row>
    <row r="416" spans="1:35" ht="12.75">
      <c r="A416" s="274"/>
      <c r="B416" s="274"/>
      <c r="C416" s="274"/>
      <c r="D416" s="274"/>
      <c r="E416" s="274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</row>
    <row r="417" spans="1:35" ht="12.75">
      <c r="A417" s="274"/>
      <c r="B417" s="274"/>
      <c r="C417" s="274"/>
      <c r="D417" s="274"/>
      <c r="E417" s="274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</row>
    <row r="418" spans="1:35" ht="12.75">
      <c r="A418" s="274"/>
      <c r="B418" s="274"/>
      <c r="C418" s="274"/>
      <c r="D418" s="274"/>
      <c r="E418" s="274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</row>
    <row r="419" spans="1:35" ht="12.75">
      <c r="A419" s="274"/>
      <c r="B419" s="274"/>
      <c r="C419" s="274"/>
      <c r="D419" s="274"/>
      <c r="E419" s="274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</row>
    <row r="420" spans="1:35" ht="12.75">
      <c r="A420" s="274"/>
      <c r="B420" s="274"/>
      <c r="C420" s="274"/>
      <c r="D420" s="274"/>
      <c r="E420" s="274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</row>
    <row r="421" spans="1:35" ht="12.75">
      <c r="A421" s="274"/>
      <c r="B421" s="274"/>
      <c r="C421" s="274"/>
      <c r="D421" s="274"/>
      <c r="E421" s="274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</row>
    <row r="422" spans="1:35" ht="12.75">
      <c r="A422" s="274"/>
      <c r="B422" s="274"/>
      <c r="C422" s="274"/>
      <c r="D422" s="274"/>
      <c r="E422" s="274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</row>
    <row r="423" spans="1:35" ht="12.75">
      <c r="A423" s="274"/>
      <c r="B423" s="274"/>
      <c r="C423" s="274"/>
      <c r="D423" s="274"/>
      <c r="E423" s="274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</row>
    <row r="424" spans="1:35" ht="12.75">
      <c r="A424" s="274"/>
      <c r="B424" s="274"/>
      <c r="C424" s="274"/>
      <c r="D424" s="274"/>
      <c r="E424" s="274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</row>
    <row r="425" spans="1:35" ht="12.75">
      <c r="A425" s="274"/>
      <c r="B425" s="274"/>
      <c r="C425" s="274"/>
      <c r="D425" s="274"/>
      <c r="E425" s="274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</row>
    <row r="426" spans="1:35" ht="12.75">
      <c r="A426" s="274"/>
      <c r="B426" s="274"/>
      <c r="C426" s="274"/>
      <c r="D426" s="274"/>
      <c r="E426" s="274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</row>
    <row r="427" spans="1:35" ht="12.75">
      <c r="A427" s="274"/>
      <c r="B427" s="274"/>
      <c r="C427" s="274"/>
      <c r="D427" s="274"/>
      <c r="E427" s="274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</row>
    <row r="428" spans="1:35" ht="12.75">
      <c r="A428" s="274"/>
      <c r="B428" s="274"/>
      <c r="C428" s="274"/>
      <c r="D428" s="274"/>
      <c r="E428" s="274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</row>
    <row r="429" spans="1:35" ht="12.75">
      <c r="A429" s="274"/>
      <c r="B429" s="274"/>
      <c r="C429" s="274"/>
      <c r="D429" s="274"/>
      <c r="E429" s="274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</row>
    <row r="430" spans="1:35" ht="12.75">
      <c r="A430" s="274"/>
      <c r="B430" s="274"/>
      <c r="C430" s="274"/>
      <c r="D430" s="274"/>
      <c r="E430" s="274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</row>
    <row r="431" spans="1:35" ht="12.75">
      <c r="A431" s="274"/>
      <c r="B431" s="274"/>
      <c r="C431" s="274"/>
      <c r="D431" s="274"/>
      <c r="E431" s="274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</row>
    <row r="432" spans="1:35" ht="12.75">
      <c r="A432" s="274"/>
      <c r="B432" s="274"/>
      <c r="C432" s="274"/>
      <c r="D432" s="274"/>
      <c r="E432" s="274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</row>
    <row r="433" spans="1:35" ht="12.75">
      <c r="A433" s="274"/>
      <c r="B433" s="274"/>
      <c r="C433" s="274"/>
      <c r="D433" s="274"/>
      <c r="E433" s="274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</row>
    <row r="434" spans="1:35" ht="12.75">
      <c r="A434" s="274"/>
      <c r="B434" s="274"/>
      <c r="C434" s="274"/>
      <c r="D434" s="274"/>
      <c r="E434" s="274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</row>
    <row r="435" spans="1:35" ht="12.75">
      <c r="A435" s="274"/>
      <c r="B435" s="274"/>
      <c r="C435" s="274"/>
      <c r="D435" s="274"/>
      <c r="E435" s="274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</row>
    <row r="436" spans="1:35" ht="12.75">
      <c r="A436" s="274"/>
      <c r="B436" s="274"/>
      <c r="C436" s="274"/>
      <c r="D436" s="274"/>
      <c r="E436" s="274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</row>
    <row r="437" spans="1:35" ht="12.75">
      <c r="A437" s="274"/>
      <c r="B437" s="274"/>
      <c r="C437" s="274"/>
      <c r="D437" s="274"/>
      <c r="E437" s="274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</row>
    <row r="438" spans="1:35" ht="12.75">
      <c r="A438" s="274"/>
      <c r="B438" s="274"/>
      <c r="C438" s="274"/>
      <c r="D438" s="274"/>
      <c r="E438" s="274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</row>
    <row r="439" spans="1:35" ht="12.75">
      <c r="A439" s="274"/>
      <c r="B439" s="274"/>
      <c r="C439" s="274"/>
      <c r="D439" s="274"/>
      <c r="E439" s="274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  <c r="AA439" s="17"/>
      <c r="AB439" s="17"/>
      <c r="AC439" s="17"/>
      <c r="AD439" s="17"/>
      <c r="AE439" s="17"/>
      <c r="AF439" s="17"/>
      <c r="AG439" s="17"/>
      <c r="AH439" s="17"/>
      <c r="AI439" s="17"/>
    </row>
    <row r="440" spans="1:35" ht="12.75">
      <c r="A440" s="274"/>
      <c r="B440" s="274"/>
      <c r="C440" s="274"/>
      <c r="D440" s="274"/>
      <c r="E440" s="274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  <c r="AA440" s="17"/>
      <c r="AB440" s="17"/>
      <c r="AC440" s="17"/>
      <c r="AD440" s="17"/>
      <c r="AE440" s="17"/>
      <c r="AF440" s="17"/>
      <c r="AG440" s="17"/>
      <c r="AH440" s="17"/>
      <c r="AI440" s="17"/>
    </row>
    <row r="441" spans="1:35" ht="12.75">
      <c r="A441" s="274"/>
      <c r="B441" s="274"/>
      <c r="C441" s="274"/>
      <c r="D441" s="274"/>
      <c r="E441" s="274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  <c r="AA441" s="17"/>
      <c r="AB441" s="17"/>
      <c r="AC441" s="17"/>
      <c r="AD441" s="17"/>
      <c r="AE441" s="17"/>
      <c r="AF441" s="17"/>
      <c r="AG441" s="17"/>
      <c r="AH441" s="17"/>
      <c r="AI441" s="17"/>
    </row>
    <row r="442" spans="1:35" ht="12.75">
      <c r="A442" s="274"/>
      <c r="B442" s="274"/>
      <c r="C442" s="274"/>
      <c r="D442" s="274"/>
      <c r="E442" s="274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  <c r="AA442" s="17"/>
      <c r="AB442" s="17"/>
      <c r="AC442" s="17"/>
      <c r="AD442" s="17"/>
      <c r="AE442" s="17"/>
      <c r="AF442" s="17"/>
      <c r="AG442" s="17"/>
      <c r="AH442" s="17"/>
      <c r="AI442" s="17"/>
    </row>
    <row r="443" spans="1:35" ht="12.75">
      <c r="A443" s="274"/>
      <c r="B443" s="274"/>
      <c r="C443" s="274"/>
      <c r="D443" s="274"/>
      <c r="E443" s="274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  <c r="AA443" s="17"/>
      <c r="AB443" s="17"/>
      <c r="AC443" s="17"/>
      <c r="AD443" s="17"/>
      <c r="AE443" s="17"/>
      <c r="AF443" s="17"/>
      <c r="AG443" s="17"/>
      <c r="AH443" s="17"/>
      <c r="AI443" s="17"/>
    </row>
    <row r="444" spans="1:35" ht="12.75">
      <c r="A444" s="274"/>
      <c r="B444" s="274"/>
      <c r="C444" s="274"/>
      <c r="D444" s="274"/>
      <c r="E444" s="274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  <c r="AA444" s="17"/>
      <c r="AB444" s="17"/>
      <c r="AC444" s="17"/>
      <c r="AD444" s="17"/>
      <c r="AE444" s="17"/>
      <c r="AF444" s="17"/>
      <c r="AG444" s="17"/>
      <c r="AH444" s="17"/>
      <c r="AI444" s="17"/>
    </row>
    <row r="445" spans="1:5" ht="12.75">
      <c r="A445" s="293"/>
      <c r="B445" s="293"/>
      <c r="C445" s="293"/>
      <c r="D445" s="293"/>
      <c r="E445" s="294"/>
    </row>
    <row r="446" spans="1:5" ht="12.75">
      <c r="A446" s="197"/>
      <c r="B446" s="197"/>
      <c r="C446" s="197"/>
      <c r="D446" s="197"/>
      <c r="E446" s="198"/>
    </row>
    <row r="447" spans="1:5" ht="12.75">
      <c r="A447" s="197"/>
      <c r="B447" s="197"/>
      <c r="C447" s="197"/>
      <c r="D447" s="197"/>
      <c r="E447" s="198"/>
    </row>
    <row r="448" spans="1:5" ht="12.75">
      <c r="A448" s="197"/>
      <c r="B448" s="197"/>
      <c r="C448" s="197"/>
      <c r="D448" s="197"/>
      <c r="E448" s="198"/>
    </row>
    <row r="449" spans="1:5" ht="12.75">
      <c r="A449" s="197"/>
      <c r="B449" s="197"/>
      <c r="C449" s="197"/>
      <c r="D449" s="197"/>
      <c r="E449" s="198"/>
    </row>
    <row r="450" spans="1:5" ht="12.75">
      <c r="A450" s="197"/>
      <c r="B450" s="197"/>
      <c r="C450" s="197"/>
      <c r="D450" s="197"/>
      <c r="E450" s="198"/>
    </row>
  </sheetData>
  <sheetProtection/>
  <mergeCells count="590">
    <mergeCell ref="AM181:AN181"/>
    <mergeCell ref="AM173:AM174"/>
    <mergeCell ref="AN173:AN174"/>
    <mergeCell ref="AM163:AM164"/>
    <mergeCell ref="AN163:AN164"/>
    <mergeCell ref="AM165:AM166"/>
    <mergeCell ref="AN165:AN166"/>
    <mergeCell ref="AM179:AM180"/>
    <mergeCell ref="AN179:AN180"/>
    <mergeCell ref="AM177:AM178"/>
    <mergeCell ref="AN177:AN178"/>
    <mergeCell ref="AM175:AM176"/>
    <mergeCell ref="AN175:AN176"/>
    <mergeCell ref="AM169:AM170"/>
    <mergeCell ref="AN169:AN170"/>
    <mergeCell ref="AM171:AM172"/>
    <mergeCell ref="AN171:AN172"/>
    <mergeCell ref="AM167:AM168"/>
    <mergeCell ref="AN167:AN168"/>
    <mergeCell ref="AM157:AM158"/>
    <mergeCell ref="AN157:AN158"/>
    <mergeCell ref="AM159:AM160"/>
    <mergeCell ref="AN159:AN160"/>
    <mergeCell ref="AM161:AM162"/>
    <mergeCell ref="AN161:AN162"/>
    <mergeCell ref="AM149:AM150"/>
    <mergeCell ref="AN149:AN150"/>
    <mergeCell ref="AM151:AM152"/>
    <mergeCell ref="AN151:AN152"/>
    <mergeCell ref="AM153:AM154"/>
    <mergeCell ref="AN153:AN154"/>
    <mergeCell ref="AM137:AM138"/>
    <mergeCell ref="AN137:AN138"/>
    <mergeCell ref="AM143:AM144"/>
    <mergeCell ref="AN143:AN144"/>
    <mergeCell ref="AM155:AM156"/>
    <mergeCell ref="AN155:AN156"/>
    <mergeCell ref="AM145:AM146"/>
    <mergeCell ref="AN145:AN146"/>
    <mergeCell ref="AM147:AM148"/>
    <mergeCell ref="AN147:AN148"/>
    <mergeCell ref="AM129:AM130"/>
    <mergeCell ref="AN129:AN130"/>
    <mergeCell ref="AM133:AM134"/>
    <mergeCell ref="AN133:AN134"/>
    <mergeCell ref="AM135:AM136"/>
    <mergeCell ref="AN135:AN136"/>
    <mergeCell ref="AM123:AM124"/>
    <mergeCell ref="AN123:AN124"/>
    <mergeCell ref="AM125:AM126"/>
    <mergeCell ref="AN125:AN126"/>
    <mergeCell ref="AM141:AM142"/>
    <mergeCell ref="AN141:AN142"/>
    <mergeCell ref="AM139:AM140"/>
    <mergeCell ref="AN139:AN140"/>
    <mergeCell ref="AM131:AM132"/>
    <mergeCell ref="AN131:AN132"/>
    <mergeCell ref="AM113:AM114"/>
    <mergeCell ref="AN113:AN114"/>
    <mergeCell ref="AM127:AM128"/>
    <mergeCell ref="AN127:AN128"/>
    <mergeCell ref="AM115:AM116"/>
    <mergeCell ref="AN115:AN116"/>
    <mergeCell ref="AM117:AM118"/>
    <mergeCell ref="AN117:AN118"/>
    <mergeCell ref="AM121:AM122"/>
    <mergeCell ref="AN121:AN122"/>
    <mergeCell ref="AM93:AM94"/>
    <mergeCell ref="AN93:AN94"/>
    <mergeCell ref="AM101:AM102"/>
    <mergeCell ref="AN101:AN102"/>
    <mergeCell ref="AM119:AM120"/>
    <mergeCell ref="AN119:AN120"/>
    <mergeCell ref="AM109:AM110"/>
    <mergeCell ref="AN109:AN110"/>
    <mergeCell ref="AM111:AM112"/>
    <mergeCell ref="AN111:AN112"/>
    <mergeCell ref="AM107:AM108"/>
    <mergeCell ref="AN107:AN108"/>
    <mergeCell ref="AM97:AM98"/>
    <mergeCell ref="AN97:AN98"/>
    <mergeCell ref="AM99:AM100"/>
    <mergeCell ref="AN99:AN100"/>
    <mergeCell ref="AM105:AM106"/>
    <mergeCell ref="AN105:AN106"/>
    <mergeCell ref="AM103:AM104"/>
    <mergeCell ref="AN103:AN104"/>
    <mergeCell ref="AM95:AM96"/>
    <mergeCell ref="AN95:AN96"/>
    <mergeCell ref="AM85:AM86"/>
    <mergeCell ref="AN85:AN86"/>
    <mergeCell ref="AM87:AM88"/>
    <mergeCell ref="AN87:AN88"/>
    <mergeCell ref="AM89:AM90"/>
    <mergeCell ref="AN89:AN90"/>
    <mergeCell ref="AM91:AM92"/>
    <mergeCell ref="AN91:AN92"/>
    <mergeCell ref="AN75:AN76"/>
    <mergeCell ref="AM77:AM78"/>
    <mergeCell ref="AN77:AN78"/>
    <mergeCell ref="AM79:AM80"/>
    <mergeCell ref="AN79:AN80"/>
    <mergeCell ref="AM81:AM82"/>
    <mergeCell ref="AN81:AN82"/>
    <mergeCell ref="AN57:AN58"/>
    <mergeCell ref="AM65:AM66"/>
    <mergeCell ref="AN65:AN66"/>
    <mergeCell ref="AM59:AM60"/>
    <mergeCell ref="AN59:AN60"/>
    <mergeCell ref="AM83:AM84"/>
    <mergeCell ref="AN83:AN84"/>
    <mergeCell ref="AM73:AM74"/>
    <mergeCell ref="AN73:AN74"/>
    <mergeCell ref="AM75:AM76"/>
    <mergeCell ref="AM71:AM72"/>
    <mergeCell ref="AN71:AN72"/>
    <mergeCell ref="AM61:AM62"/>
    <mergeCell ref="AN61:AN62"/>
    <mergeCell ref="AM63:AM64"/>
    <mergeCell ref="AN63:AN64"/>
    <mergeCell ref="AM69:AM70"/>
    <mergeCell ref="AN69:AN70"/>
    <mergeCell ref="AM67:AM68"/>
    <mergeCell ref="AN67:AN68"/>
    <mergeCell ref="AN43:AN44"/>
    <mergeCell ref="AM53:AM54"/>
    <mergeCell ref="AN53:AN54"/>
    <mergeCell ref="AM55:AM56"/>
    <mergeCell ref="AN55:AN56"/>
    <mergeCell ref="AM49:AM50"/>
    <mergeCell ref="AN49:AN50"/>
    <mergeCell ref="AM51:AM52"/>
    <mergeCell ref="AN51:AN52"/>
    <mergeCell ref="AN45:AN46"/>
    <mergeCell ref="AN41:AN42"/>
    <mergeCell ref="AN31:AN32"/>
    <mergeCell ref="AM33:AM34"/>
    <mergeCell ref="AN33:AN34"/>
    <mergeCell ref="AM47:AM48"/>
    <mergeCell ref="AN47:AN48"/>
    <mergeCell ref="AM37:AM38"/>
    <mergeCell ref="AN37:AN38"/>
    <mergeCell ref="AM39:AM40"/>
    <mergeCell ref="AN39:AN40"/>
    <mergeCell ref="W181:AG181"/>
    <mergeCell ref="A179:E180"/>
    <mergeCell ref="AI179:AJ180"/>
    <mergeCell ref="AH179:AH180"/>
    <mergeCell ref="AM25:AM26"/>
    <mergeCell ref="AN25:AN26"/>
    <mergeCell ref="AM27:AM28"/>
    <mergeCell ref="AN27:AN28"/>
    <mergeCell ref="AM35:AM36"/>
    <mergeCell ref="AN35:AN36"/>
    <mergeCell ref="A435:E436"/>
    <mergeCell ref="A439:E440"/>
    <mergeCell ref="AK179:AL180"/>
    <mergeCell ref="F89:F90"/>
    <mergeCell ref="G89:G90"/>
    <mergeCell ref="N89:N90"/>
    <mergeCell ref="R89:R90"/>
    <mergeCell ref="AI153:AJ154"/>
    <mergeCell ref="AI149:AJ150"/>
    <mergeCell ref="AI159:AJ160"/>
    <mergeCell ref="A423:E424"/>
    <mergeCell ref="A437:E438"/>
    <mergeCell ref="A449:E450"/>
    <mergeCell ref="A447:E448"/>
    <mergeCell ref="A425:E426"/>
    <mergeCell ref="A427:E428"/>
    <mergeCell ref="A429:E430"/>
    <mergeCell ref="A443:E444"/>
    <mergeCell ref="A445:E446"/>
    <mergeCell ref="A433:E434"/>
    <mergeCell ref="A177:E178"/>
    <mergeCell ref="AH177:AH178"/>
    <mergeCell ref="A441:E442"/>
    <mergeCell ref="A403:E404"/>
    <mergeCell ref="A405:E406"/>
    <mergeCell ref="A407:E408"/>
    <mergeCell ref="A431:E432"/>
    <mergeCell ref="A417:E418"/>
    <mergeCell ref="A419:E420"/>
    <mergeCell ref="A421:E422"/>
    <mergeCell ref="A415:E416"/>
    <mergeCell ref="A283:D315"/>
    <mergeCell ref="A263:D275"/>
    <mergeCell ref="A222:D257"/>
    <mergeCell ref="A409:E410"/>
    <mergeCell ref="A411:E412"/>
    <mergeCell ref="A413:E414"/>
    <mergeCell ref="AF89:AF90"/>
    <mergeCell ref="AH99:AH100"/>
    <mergeCell ref="AH101:AH102"/>
    <mergeCell ref="AG89:AG90"/>
    <mergeCell ref="AH103:AH104"/>
    <mergeCell ref="AH105:AH106"/>
    <mergeCell ref="AH89:AH90"/>
    <mergeCell ref="AH91:AH92"/>
    <mergeCell ref="AH93:AH94"/>
    <mergeCell ref="AH95:AH96"/>
    <mergeCell ref="V89:V90"/>
    <mergeCell ref="O89:O90"/>
    <mergeCell ref="P89:P90"/>
    <mergeCell ref="AE89:AE90"/>
    <mergeCell ref="Q89:Q90"/>
    <mergeCell ref="W89:W90"/>
    <mergeCell ref="X89:X90"/>
    <mergeCell ref="S89:S90"/>
    <mergeCell ref="T89:T90"/>
    <mergeCell ref="J89:J90"/>
    <mergeCell ref="K89:K90"/>
    <mergeCell ref="AC89:AC90"/>
    <mergeCell ref="AD89:AD90"/>
    <mergeCell ref="Y89:Y90"/>
    <mergeCell ref="AA89:AA90"/>
    <mergeCell ref="AB89:AB90"/>
    <mergeCell ref="Z89:Z90"/>
    <mergeCell ref="L89:L90"/>
    <mergeCell ref="U89:U90"/>
    <mergeCell ref="I89:I90"/>
    <mergeCell ref="A149:E150"/>
    <mergeCell ref="A139:E140"/>
    <mergeCell ref="A141:E142"/>
    <mergeCell ref="A135:E136"/>
    <mergeCell ref="A137:E138"/>
    <mergeCell ref="A147:E148"/>
    <mergeCell ref="A99:E100"/>
    <mergeCell ref="A127:E128"/>
    <mergeCell ref="A121:E122"/>
    <mergeCell ref="AK173:AL174"/>
    <mergeCell ref="AI175:AJ176"/>
    <mergeCell ref="AI171:AJ172"/>
    <mergeCell ref="AI177:AJ178"/>
    <mergeCell ref="A131:E132"/>
    <mergeCell ref="M89:M90"/>
    <mergeCell ref="A95:E96"/>
    <mergeCell ref="A97:E98"/>
    <mergeCell ref="A101:E102"/>
    <mergeCell ref="A115:E116"/>
    <mergeCell ref="AH1:AN1"/>
    <mergeCell ref="AG2:AN2"/>
    <mergeCell ref="U4:AE5"/>
    <mergeCell ref="U1:AE3"/>
    <mergeCell ref="AF4:AN5"/>
    <mergeCell ref="AK177:AL178"/>
    <mergeCell ref="AI173:AJ174"/>
    <mergeCell ref="AK175:AL176"/>
    <mergeCell ref="AK169:AL170"/>
    <mergeCell ref="AK171:AL172"/>
    <mergeCell ref="AI167:AJ168"/>
    <mergeCell ref="AI169:AJ170"/>
    <mergeCell ref="AK167:AL168"/>
    <mergeCell ref="AM41:AM42"/>
    <mergeCell ref="AI115:AJ116"/>
    <mergeCell ref="AI117:AJ118"/>
    <mergeCell ref="AI101:AJ102"/>
    <mergeCell ref="AI131:AJ132"/>
    <mergeCell ref="AI125:AJ126"/>
    <mergeCell ref="AI165:AJ166"/>
    <mergeCell ref="C2:S3"/>
    <mergeCell ref="C4:E5"/>
    <mergeCell ref="F4:G5"/>
    <mergeCell ref="H4:J5"/>
    <mergeCell ref="K4:M5"/>
    <mergeCell ref="N4:P5"/>
    <mergeCell ref="Q4:S5"/>
    <mergeCell ref="C9:E12"/>
    <mergeCell ref="F9:G12"/>
    <mergeCell ref="H9:J12"/>
    <mergeCell ref="AI18:AJ21"/>
    <mergeCell ref="C13:E16"/>
    <mergeCell ref="A18:E18"/>
    <mergeCell ref="G18:AF18"/>
    <mergeCell ref="Z19:AG20"/>
    <mergeCell ref="A19:E21"/>
    <mergeCell ref="AI119:AJ120"/>
    <mergeCell ref="F6:G8"/>
    <mergeCell ref="Q13:S14"/>
    <mergeCell ref="AH18:AH21"/>
    <mergeCell ref="AI23:AJ23"/>
    <mergeCell ref="K9:M12"/>
    <mergeCell ref="F13:G14"/>
    <mergeCell ref="K6:M8"/>
    <mergeCell ref="AI22:AJ22"/>
    <mergeCell ref="H89:H90"/>
    <mergeCell ref="AH25:AH26"/>
    <mergeCell ref="U6:AE7"/>
    <mergeCell ref="G19:N20"/>
    <mergeCell ref="AF7:AN7"/>
    <mergeCell ref="AI24:AJ24"/>
    <mergeCell ref="AI25:AJ26"/>
    <mergeCell ref="N9:P12"/>
    <mergeCell ref="Q9:S12"/>
    <mergeCell ref="AK18:AN18"/>
    <mergeCell ref="AK19:AN20"/>
    <mergeCell ref="AI161:AJ162"/>
    <mergeCell ref="AI145:AJ146"/>
    <mergeCell ref="AI135:AJ136"/>
    <mergeCell ref="AI137:AJ138"/>
    <mergeCell ref="AI139:AJ140"/>
    <mergeCell ref="AI163:AJ164"/>
    <mergeCell ref="AI155:AJ156"/>
    <mergeCell ref="AI147:AJ148"/>
    <mergeCell ref="AI157:AJ158"/>
    <mergeCell ref="AI151:AJ152"/>
    <mergeCell ref="AK109:AL110"/>
    <mergeCell ref="AI109:AJ110"/>
    <mergeCell ref="AK113:AL114"/>
    <mergeCell ref="AK127:AL128"/>
    <mergeCell ref="AK129:AL130"/>
    <mergeCell ref="AI121:AJ122"/>
    <mergeCell ref="AI127:AJ128"/>
    <mergeCell ref="AK121:AL122"/>
    <mergeCell ref="AK123:AL124"/>
    <mergeCell ref="AK111:AL112"/>
    <mergeCell ref="AK135:AL136"/>
    <mergeCell ref="AK147:AL148"/>
    <mergeCell ref="AK141:AL142"/>
    <mergeCell ref="AI133:AJ134"/>
    <mergeCell ref="AI141:AJ142"/>
    <mergeCell ref="AK137:AL138"/>
    <mergeCell ref="AK139:AL140"/>
    <mergeCell ref="AK143:AL144"/>
    <mergeCell ref="AK145:AL146"/>
    <mergeCell ref="AI143:AJ144"/>
    <mergeCell ref="AI103:AJ104"/>
    <mergeCell ref="AI105:AJ106"/>
    <mergeCell ref="AI87:AJ88"/>
    <mergeCell ref="AI95:AJ96"/>
    <mergeCell ref="AI89:AJ90"/>
    <mergeCell ref="AK157:AL158"/>
    <mergeCell ref="AK149:AL150"/>
    <mergeCell ref="AK151:AL152"/>
    <mergeCell ref="AK153:AL154"/>
    <mergeCell ref="AK155:AL156"/>
    <mergeCell ref="AK131:AL132"/>
    <mergeCell ref="AK119:AL120"/>
    <mergeCell ref="AI83:AJ84"/>
    <mergeCell ref="AK117:AL118"/>
    <mergeCell ref="AK133:AL134"/>
    <mergeCell ref="AI129:AJ130"/>
    <mergeCell ref="AI123:AJ124"/>
    <mergeCell ref="AI91:AJ92"/>
    <mergeCell ref="AI99:AJ100"/>
    <mergeCell ref="AI113:AJ114"/>
    <mergeCell ref="AI107:AJ108"/>
    <mergeCell ref="AI97:AJ98"/>
    <mergeCell ref="AK57:AL58"/>
    <mergeCell ref="AK59:AL60"/>
    <mergeCell ref="AK97:AL98"/>
    <mergeCell ref="AK99:AL100"/>
    <mergeCell ref="AK105:AL106"/>
    <mergeCell ref="AK107:AL108"/>
    <mergeCell ref="AI75:AJ76"/>
    <mergeCell ref="AK87:AL88"/>
    <mergeCell ref="AK91:AL92"/>
    <mergeCell ref="AK93:AL94"/>
    <mergeCell ref="AK83:AL84"/>
    <mergeCell ref="AI69:AJ70"/>
    <mergeCell ref="AI85:AJ86"/>
    <mergeCell ref="AI79:AJ80"/>
    <mergeCell ref="AI81:AJ82"/>
    <mergeCell ref="AK73:AL74"/>
    <mergeCell ref="AK115:AL116"/>
    <mergeCell ref="AI111:AJ112"/>
    <mergeCell ref="AI61:AJ62"/>
    <mergeCell ref="AI51:AJ52"/>
    <mergeCell ref="AI59:AJ60"/>
    <mergeCell ref="AI67:AJ68"/>
    <mergeCell ref="AK101:AL102"/>
    <mergeCell ref="AK103:AL104"/>
    <mergeCell ref="AK75:AL76"/>
    <mergeCell ref="AK69:AL70"/>
    <mergeCell ref="AM43:AM44"/>
    <mergeCell ref="AM45:AM46"/>
    <mergeCell ref="AI55:AJ56"/>
    <mergeCell ref="AM57:AM58"/>
    <mergeCell ref="AI47:AJ48"/>
    <mergeCell ref="AI49:AJ50"/>
    <mergeCell ref="AI53:AJ54"/>
    <mergeCell ref="AK55:AL56"/>
    <mergeCell ref="AI43:AJ44"/>
    <mergeCell ref="AH29:AH30"/>
    <mergeCell ref="AH37:AH38"/>
    <mergeCell ref="AM29:AM30"/>
    <mergeCell ref="AK35:AL36"/>
    <mergeCell ref="AK37:AL38"/>
    <mergeCell ref="AK39:AL40"/>
    <mergeCell ref="AM31:AM32"/>
    <mergeCell ref="AH31:AH32"/>
    <mergeCell ref="AI35:AJ36"/>
    <mergeCell ref="AI37:AJ38"/>
    <mergeCell ref="AI27:AJ28"/>
    <mergeCell ref="AI29:AJ30"/>
    <mergeCell ref="AI31:AJ32"/>
    <mergeCell ref="AI33:AJ34"/>
    <mergeCell ref="AH27:AH28"/>
    <mergeCell ref="AH41:AH42"/>
    <mergeCell ref="AI41:AJ42"/>
    <mergeCell ref="AI39:AJ40"/>
    <mergeCell ref="AH39:AH40"/>
    <mergeCell ref="AH35:AH36"/>
    <mergeCell ref="AI65:AJ66"/>
    <mergeCell ref="AH33:AH34"/>
    <mergeCell ref="AI45:AJ46"/>
    <mergeCell ref="AI63:AJ64"/>
    <mergeCell ref="AI57:AJ58"/>
    <mergeCell ref="A157:E158"/>
    <mergeCell ref="A119:E120"/>
    <mergeCell ref="A151:E152"/>
    <mergeCell ref="A153:E154"/>
    <mergeCell ref="A79:E80"/>
    <mergeCell ref="A107:E108"/>
    <mergeCell ref="A109:E110"/>
    <mergeCell ref="A113:E114"/>
    <mergeCell ref="A111:E112"/>
    <mergeCell ref="A125:E126"/>
    <mergeCell ref="A117:E118"/>
    <mergeCell ref="A173:E174"/>
    <mergeCell ref="A169:E170"/>
    <mergeCell ref="A163:E164"/>
    <mergeCell ref="A165:E166"/>
    <mergeCell ref="A129:E130"/>
    <mergeCell ref="A123:E124"/>
    <mergeCell ref="A133:E134"/>
    <mergeCell ref="A63:E64"/>
    <mergeCell ref="A65:E66"/>
    <mergeCell ref="A73:E74"/>
    <mergeCell ref="A89:E90"/>
    <mergeCell ref="A91:E92"/>
    <mergeCell ref="A93:E94"/>
    <mergeCell ref="A77:E78"/>
    <mergeCell ref="A75:E76"/>
    <mergeCell ref="A81:E82"/>
    <mergeCell ref="A39:E40"/>
    <mergeCell ref="A67:E68"/>
    <mergeCell ref="A69:E70"/>
    <mergeCell ref="A71:E72"/>
    <mergeCell ref="A47:E48"/>
    <mergeCell ref="A49:E50"/>
    <mergeCell ref="A41:E42"/>
    <mergeCell ref="A57:E58"/>
    <mergeCell ref="A59:E60"/>
    <mergeCell ref="A61:E62"/>
    <mergeCell ref="A175:E176"/>
    <mergeCell ref="A183:D214"/>
    <mergeCell ref="A181:V181"/>
    <mergeCell ref="A83:E84"/>
    <mergeCell ref="A85:E86"/>
    <mergeCell ref="A87:E88"/>
    <mergeCell ref="A143:E144"/>
    <mergeCell ref="A145:E146"/>
    <mergeCell ref="A103:E104"/>
    <mergeCell ref="A105:E106"/>
    <mergeCell ref="A43:E44"/>
    <mergeCell ref="A45:E46"/>
    <mergeCell ref="A167:E168"/>
    <mergeCell ref="A171:E172"/>
    <mergeCell ref="A159:E160"/>
    <mergeCell ref="A161:E162"/>
    <mergeCell ref="A155:E156"/>
    <mergeCell ref="A55:E56"/>
    <mergeCell ref="A51:E52"/>
    <mergeCell ref="A53:E54"/>
    <mergeCell ref="A35:E36"/>
    <mergeCell ref="A22:E22"/>
    <mergeCell ref="A25:E26"/>
    <mergeCell ref="A23:E23"/>
    <mergeCell ref="A27:E28"/>
    <mergeCell ref="A29:E30"/>
    <mergeCell ref="A31:E32"/>
    <mergeCell ref="A24:E24"/>
    <mergeCell ref="A33:E34"/>
    <mergeCell ref="A37:E38"/>
    <mergeCell ref="A1:S1"/>
    <mergeCell ref="O19:V20"/>
    <mergeCell ref="W19:Y20"/>
    <mergeCell ref="K13:M14"/>
    <mergeCell ref="N13:P14"/>
    <mergeCell ref="A2:B5"/>
    <mergeCell ref="A6:B16"/>
    <mergeCell ref="F18:F21"/>
    <mergeCell ref="H13:J14"/>
    <mergeCell ref="C6:E8"/>
    <mergeCell ref="AM9:AN11"/>
    <mergeCell ref="AE9:AF11"/>
    <mergeCell ref="X9:AC11"/>
    <mergeCell ref="AK9:AL11"/>
    <mergeCell ref="AI9:AJ11"/>
    <mergeCell ref="AG9:AH11"/>
    <mergeCell ref="H6:J8"/>
    <mergeCell ref="Q6:S8"/>
    <mergeCell ref="N6:P8"/>
    <mergeCell ref="AK165:AL166"/>
    <mergeCell ref="AK61:AL62"/>
    <mergeCell ref="AK63:AL64"/>
    <mergeCell ref="AK65:AL66"/>
    <mergeCell ref="AK67:AL68"/>
    <mergeCell ref="AI71:AJ72"/>
    <mergeCell ref="AI73:AJ74"/>
    <mergeCell ref="AI93:AJ94"/>
    <mergeCell ref="AI77:AJ78"/>
    <mergeCell ref="AK163:AL164"/>
    <mergeCell ref="AK22:AL22"/>
    <mergeCell ref="AK21:AL21"/>
    <mergeCell ref="AK29:AL30"/>
    <mergeCell ref="AK33:AL34"/>
    <mergeCell ref="AK25:AL26"/>
    <mergeCell ref="AK24:AL24"/>
    <mergeCell ref="AK23:AL23"/>
    <mergeCell ref="AN29:AN30"/>
    <mergeCell ref="AK27:AL28"/>
    <mergeCell ref="AK31:AL32"/>
    <mergeCell ref="AK79:AL80"/>
    <mergeCell ref="AK81:AL82"/>
    <mergeCell ref="AK125:AL126"/>
    <mergeCell ref="AK95:AL96"/>
    <mergeCell ref="AK89:AL90"/>
    <mergeCell ref="AK71:AL72"/>
    <mergeCell ref="AK77:AL78"/>
    <mergeCell ref="AK41:AL42"/>
    <mergeCell ref="AK159:AL160"/>
    <mergeCell ref="AK161:AL162"/>
    <mergeCell ref="AK43:AL44"/>
    <mergeCell ref="AK45:AL46"/>
    <mergeCell ref="AK47:AL48"/>
    <mergeCell ref="AK85:AL86"/>
    <mergeCell ref="AK51:AL52"/>
    <mergeCell ref="AK53:AL54"/>
    <mergeCell ref="AK49:AL50"/>
    <mergeCell ref="AH73:AH74"/>
    <mergeCell ref="AH67:AH68"/>
    <mergeCell ref="AH43:AH44"/>
    <mergeCell ref="AH45:AH46"/>
    <mergeCell ref="AH47:AH48"/>
    <mergeCell ref="AH65:AH66"/>
    <mergeCell ref="AH49:AH50"/>
    <mergeCell ref="AH51:AH52"/>
    <mergeCell ref="AH53:AH54"/>
    <mergeCell ref="AH55:AH56"/>
    <mergeCell ref="AH69:AH70"/>
    <mergeCell ref="AH71:AH72"/>
    <mergeCell ref="AH57:AH58"/>
    <mergeCell ref="AH59:AH60"/>
    <mergeCell ref="AH61:AH62"/>
    <mergeCell ref="AH63:AH64"/>
    <mergeCell ref="AH87:AH88"/>
    <mergeCell ref="AH133:AH134"/>
    <mergeCell ref="AH129:AH130"/>
    <mergeCell ref="AH135:AH136"/>
    <mergeCell ref="AH137:AH138"/>
    <mergeCell ref="AH119:AH120"/>
    <mergeCell ref="AH107:AH108"/>
    <mergeCell ref="AH97:AH98"/>
    <mergeCell ref="AH109:AH110"/>
    <mergeCell ref="AH75:AH76"/>
    <mergeCell ref="AH77:AH78"/>
    <mergeCell ref="AH79:AH80"/>
    <mergeCell ref="AH81:AH82"/>
    <mergeCell ref="AH83:AH84"/>
    <mergeCell ref="AH117:AH118"/>
    <mergeCell ref="AH111:AH112"/>
    <mergeCell ref="AH113:AH114"/>
    <mergeCell ref="AH115:AH116"/>
    <mergeCell ref="AH85:AH86"/>
    <mergeCell ref="AH143:AH144"/>
    <mergeCell ref="AH121:AH122"/>
    <mergeCell ref="AH123:AH124"/>
    <mergeCell ref="AH125:AH126"/>
    <mergeCell ref="AH127:AH128"/>
    <mergeCell ref="AH131:AH132"/>
    <mergeCell ref="AH139:AH140"/>
    <mergeCell ref="AH141:AH142"/>
    <mergeCell ref="AH173:AH174"/>
    <mergeCell ref="AH175:AH176"/>
    <mergeCell ref="AH163:AH164"/>
    <mergeCell ref="AH165:AH166"/>
    <mergeCell ref="AH167:AH168"/>
    <mergeCell ref="AH169:AH170"/>
    <mergeCell ref="AH171:AH172"/>
    <mergeCell ref="AH157:AH158"/>
    <mergeCell ref="AH159:AH160"/>
    <mergeCell ref="AH161:AH162"/>
    <mergeCell ref="AH145:AH146"/>
    <mergeCell ref="AH147:AH148"/>
    <mergeCell ref="AH151:AH152"/>
    <mergeCell ref="AH153:AH154"/>
    <mergeCell ref="AH155:AH156"/>
    <mergeCell ref="AH149:AH150"/>
  </mergeCells>
  <dataValidations count="1">
    <dataValidation type="list" allowBlank="1" showInputMessage="1" showErrorMessage="1" sqref="G23 Z23 W23 O23">
      <formula1>$AP$2:$AP$99</formula1>
    </dataValidation>
  </dataValidations>
  <printOptions/>
  <pageMargins left="0" right="0.1968503937007874" top="0" bottom="0" header="0" footer="0"/>
  <pageSetup errors="blank" orientation="portrait" paperSize="9" scale="28" r:id="rId2"/>
  <rowBreaks count="1" manualBreakCount="1">
    <brk id="88" max="39" man="1"/>
  </rowBreaks>
  <colBreaks count="2" manualBreakCount="2">
    <brk id="22" max="180" man="1"/>
    <brk id="40" max="1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2020-10-13T06:21:16Z</cp:lastPrinted>
  <dcterms:created xsi:type="dcterms:W3CDTF">1996-10-08T23:32:33Z</dcterms:created>
  <dcterms:modified xsi:type="dcterms:W3CDTF">2020-10-16T05:36:51Z</dcterms:modified>
  <cp:category/>
  <cp:version/>
  <cp:contentType/>
  <cp:contentStatus/>
</cp:coreProperties>
</file>